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T:\DEPLOYMENTS\WEBCONTENT\WWW\2015-05-27Topeka\fields\ks_rso\irrigation\"/>
    </mc:Choice>
  </mc:AlternateContent>
  <bookViews>
    <workbookView xWindow="0" yWindow="0" windowWidth="28800" windowHeight="12435"/>
  </bookViews>
  <sheets>
    <sheet name="Prod Documentation Tool Guide" sheetId="14" r:id="rId1"/>
    <sheet name="Producer Documentation Tool" sheetId="9" r:id="rId2"/>
    <sheet name="Effective Precipitation Tables" sheetId="11" r:id="rId3"/>
    <sheet name="Sheet1" sheetId="10" state="hidden" r:id="rId4"/>
    <sheet name="Average Yield" sheetId="12" state="hidden" r:id="rId5"/>
  </sheets>
  <definedNames>
    <definedName name="Avg_Yield">'Average Yield'!$B$23:$B$36</definedName>
    <definedName name="Canal">'Average Yield'!$A$23:$A$36</definedName>
    <definedName name="Soil_Type">Sheet1!$C$1:$C$12</definedName>
    <definedName name="WaterSupply">Sheet1!$A$1:$A$4</definedName>
  </definedNames>
  <calcPr calcId="152511"/>
</workbook>
</file>

<file path=xl/calcChain.xml><?xml version="1.0" encoding="utf-8"?>
<calcChain xmlns="http://schemas.openxmlformats.org/spreadsheetml/2006/main">
  <c r="N2" i="12" l="1"/>
  <c r="K2" i="12"/>
  <c r="L2" i="12"/>
  <c r="M2" i="12"/>
  <c r="J2" i="12"/>
  <c r="C2" i="12"/>
  <c r="D2" i="12"/>
  <c r="E2" i="12"/>
  <c r="F2" i="12"/>
  <c r="G2" i="12"/>
  <c r="H2" i="12"/>
  <c r="I2" i="12"/>
  <c r="B2" i="12"/>
  <c r="C11" i="12"/>
  <c r="D11" i="12"/>
  <c r="E11" i="12"/>
  <c r="F11" i="12"/>
  <c r="G11" i="12"/>
  <c r="H11" i="12"/>
  <c r="I11" i="12"/>
  <c r="J11" i="12"/>
  <c r="K11" i="12"/>
  <c r="L11" i="12"/>
  <c r="M11" i="12"/>
  <c r="N11" i="12"/>
  <c r="B11" i="12"/>
  <c r="G41" i="9" l="1"/>
  <c r="K38" i="9"/>
  <c r="K39" i="9"/>
  <c r="K40" i="9"/>
  <c r="N40" i="9" s="1"/>
  <c r="O40" i="9" s="1"/>
  <c r="P40" i="9" s="1"/>
  <c r="K46" i="9" l="1"/>
  <c r="G26" i="9"/>
  <c r="A24" i="12" l="1" a="1"/>
  <c r="A24" i="12" s="1"/>
  <c r="A27" i="12"/>
  <c r="A31" i="12"/>
  <c r="A35" i="12"/>
  <c r="A34" i="12" l="1"/>
  <c r="A30" i="12"/>
  <c r="A26" i="12"/>
  <c r="A33" i="12"/>
  <c r="A29" i="12"/>
  <c r="A25" i="12"/>
  <c r="A36" i="12"/>
  <c r="A32" i="12"/>
  <c r="A28" i="12"/>
  <c r="H18" i="12"/>
  <c r="H21" i="12" s="1"/>
  <c r="K21" i="12" l="1"/>
  <c r="I18" i="12"/>
  <c r="I21" i="12" s="1"/>
  <c r="J18" i="12"/>
  <c r="J21" i="12" s="1"/>
  <c r="K18" i="12"/>
  <c r="L18" i="12"/>
  <c r="L21" i="12" s="1"/>
  <c r="M18" i="12"/>
  <c r="M21" i="12" s="1"/>
  <c r="N18" i="12"/>
  <c r="N21" i="12" s="1"/>
  <c r="B18" i="12"/>
  <c r="B21" i="12" s="1"/>
  <c r="C18" i="12"/>
  <c r="C21" i="12" s="1"/>
  <c r="D18" i="12"/>
  <c r="D21" i="12" s="1"/>
  <c r="E18" i="12"/>
  <c r="E21" i="12" s="1"/>
  <c r="F18" i="12"/>
  <c r="F21" i="12" s="1"/>
  <c r="G18" i="12"/>
  <c r="G21" i="12" s="1"/>
  <c r="B24" i="12" l="1" a="1"/>
  <c r="B35" i="12" s="1"/>
  <c r="G82" i="11"/>
  <c r="G81" i="11"/>
  <c r="G80" i="11"/>
  <c r="H79" i="11"/>
  <c r="G79" i="11"/>
  <c r="G86" i="11" s="1"/>
  <c r="H78" i="11"/>
  <c r="G78" i="11"/>
  <c r="H77" i="11"/>
  <c r="H86" i="11" s="1"/>
  <c r="P66" i="11"/>
  <c r="P65" i="11"/>
  <c r="P64" i="11"/>
  <c r="Q63" i="11"/>
  <c r="P63" i="11"/>
  <c r="P70" i="11" s="1"/>
  <c r="Q62" i="11"/>
  <c r="P62" i="11"/>
  <c r="Q61" i="11"/>
  <c r="Q70" i="11" s="1"/>
  <c r="G66" i="11"/>
  <c r="G65" i="11"/>
  <c r="G64" i="11"/>
  <c r="H63" i="11"/>
  <c r="G63" i="11"/>
  <c r="H62" i="11"/>
  <c r="G62" i="11"/>
  <c r="G70" i="11" s="1"/>
  <c r="H61" i="11"/>
  <c r="H70" i="11" s="1"/>
  <c r="P50" i="11"/>
  <c r="P49" i="11"/>
  <c r="P48" i="11"/>
  <c r="Q47" i="11"/>
  <c r="P47" i="11"/>
  <c r="P54" i="11" s="1"/>
  <c r="Q46" i="11"/>
  <c r="P46" i="11"/>
  <c r="Q45" i="11"/>
  <c r="Q54" i="11" s="1"/>
  <c r="G50" i="11"/>
  <c r="G49" i="11"/>
  <c r="G48" i="11"/>
  <c r="H47" i="11"/>
  <c r="G47" i="11"/>
  <c r="H46" i="11"/>
  <c r="G46" i="11"/>
  <c r="G54" i="11" s="1"/>
  <c r="H45" i="11"/>
  <c r="H54" i="11" s="1"/>
  <c r="P34" i="11"/>
  <c r="P33" i="11"/>
  <c r="P32" i="11"/>
  <c r="Q31" i="11"/>
  <c r="P31" i="11"/>
  <c r="P38" i="11" s="1"/>
  <c r="Q30" i="11"/>
  <c r="P30" i="11"/>
  <c r="Q29" i="11"/>
  <c r="Q38" i="11" s="1"/>
  <c r="G34" i="11"/>
  <c r="G33" i="11"/>
  <c r="G32" i="11"/>
  <c r="H31" i="11"/>
  <c r="G31" i="11"/>
  <c r="H30" i="11"/>
  <c r="G30" i="11"/>
  <c r="G38" i="11" s="1"/>
  <c r="H29" i="11"/>
  <c r="H38" i="11" s="1"/>
  <c r="P18" i="11"/>
  <c r="P17" i="11"/>
  <c r="P16" i="11"/>
  <c r="Q15" i="11"/>
  <c r="P15" i="11"/>
  <c r="P22" i="11" s="1"/>
  <c r="Q14" i="11"/>
  <c r="P14" i="11"/>
  <c r="Q13" i="11"/>
  <c r="Q22" i="11" s="1"/>
  <c r="B24" i="12" l="1"/>
  <c r="B26" i="12"/>
  <c r="B25" i="12"/>
  <c r="B33" i="12"/>
  <c r="B36" i="12"/>
  <c r="B34" i="12"/>
  <c r="B30" i="12"/>
  <c r="E12" i="9" s="1"/>
  <c r="B28" i="12"/>
  <c r="B31" i="12"/>
  <c r="B29" i="12"/>
  <c r="B27" i="12"/>
  <c r="B32" i="12"/>
  <c r="B53" i="9"/>
  <c r="H15" i="11" l="1"/>
  <c r="H22" i="11"/>
  <c r="H13" i="11"/>
  <c r="H14" i="11"/>
  <c r="B19" i="9" l="1"/>
  <c r="C86" i="11" l="1"/>
  <c r="L70" i="11"/>
  <c r="C70" i="11"/>
  <c r="L54" i="11"/>
  <c r="C54" i="11"/>
  <c r="L38" i="11"/>
  <c r="C38" i="11"/>
  <c r="L22" i="11"/>
  <c r="C22" i="11"/>
  <c r="D7" i="11"/>
  <c r="G14" i="11" l="1"/>
  <c r="G16" i="11"/>
  <c r="G18" i="11"/>
  <c r="G15" i="11"/>
  <c r="G17" i="11"/>
  <c r="G22" i="11" l="1"/>
  <c r="G28" i="9" l="1"/>
  <c r="I19" i="9"/>
  <c r="L19" i="9" s="1"/>
  <c r="I12" i="9"/>
  <c r="L12" i="9" s="1"/>
  <c r="G30" i="9" l="1"/>
  <c r="N38" i="9" s="1"/>
  <c r="G29" i="9"/>
  <c r="O38" i="9" l="1"/>
  <c r="G31" i="9"/>
  <c r="N39" i="9" s="1"/>
  <c r="O39" i="9" s="1"/>
  <c r="P39" i="9" s="1"/>
  <c r="N41" i="9" l="1"/>
  <c r="O41" i="9"/>
  <c r="P38" i="9"/>
  <c r="P41" i="9" s="1"/>
  <c r="I42" i="9" s="1"/>
  <c r="N46" i="9"/>
  <c r="O46" i="9" s="1"/>
  <c r="P46" i="9" s="1"/>
  <c r="C53" i="9" l="1"/>
  <c r="G53" i="9" s="1"/>
  <c r="K53" i="9" s="1"/>
  <c r="B50" i="9"/>
</calcChain>
</file>

<file path=xl/sharedStrings.xml><?xml version="1.0" encoding="utf-8"?>
<sst xmlns="http://schemas.openxmlformats.org/spreadsheetml/2006/main" count="414" uniqueCount="220">
  <si>
    <t>1. Producer name, address, home telephone, and cell phone.</t>
  </si>
  <si>
    <t>Water - Normal Availability</t>
  </si>
  <si>
    <t>Water - Expected This Year</t>
  </si>
  <si>
    <t>Producer and Land</t>
  </si>
  <si>
    <t>3a. Ditch Company</t>
  </si>
  <si>
    <t>3b. Lateral</t>
  </si>
  <si>
    <t>5a. Number of Shares Owned</t>
  </si>
  <si>
    <t>4a. Source of supplemental water (ditch, well, other)?</t>
  </si>
  <si>
    <t>Acres</t>
  </si>
  <si>
    <t>5c. Total Acre Feet Normally Available (5a x 5b)</t>
  </si>
  <si>
    <t>4b. If source includes well irrigation, what is the water augmentation association?</t>
  </si>
  <si>
    <t>Total Acres</t>
  </si>
  <si>
    <t>Decision on Planting</t>
  </si>
  <si>
    <t>Intended Crop Plantings</t>
  </si>
  <si>
    <t xml:space="preserve">The producer documentation tool is a suggested method for producers to document the sources and amounts of irrigation water that they normally receive and compare them to expected amounts for the current irrigation season. </t>
  </si>
  <si>
    <t>4d. Amount of water allocated by water augmentation association for THIS year, in acre feet.</t>
  </si>
  <si>
    <t xml:space="preserve">Date: </t>
  </si>
  <si>
    <r>
      <t>6. Net Amount of Water (in acre feet)</t>
    </r>
    <r>
      <rPr>
        <b/>
        <sz val="10"/>
        <rFont val="Arial Narrow"/>
        <family val="2"/>
      </rPr>
      <t xml:space="preserve"> Leased FOR and FROM</t>
    </r>
    <r>
      <rPr>
        <sz val="10"/>
        <rFont val="Arial Narrow"/>
        <family val="2"/>
      </rPr>
      <t xml:space="preserve"> This Farm</t>
    </r>
  </si>
  <si>
    <t>PRODUCER DOCUMENTATION TOOL</t>
  </si>
  <si>
    <t>4c. Average (past 10 years) amount of supplemental water, in acre feet?</t>
  </si>
  <si>
    <t>If you have questions, please contact: USDA-RMA-Topeka Regional Office, Telephone: 785-228-5512.</t>
  </si>
  <si>
    <t>Ditch</t>
  </si>
  <si>
    <t xml:space="preserve">Well </t>
  </si>
  <si>
    <t>Other</t>
  </si>
  <si>
    <t>0-1 Ft</t>
  </si>
  <si>
    <t>1-2 Ft</t>
  </si>
  <si>
    <t>2-3 Ft</t>
  </si>
  <si>
    <t>Soil Type</t>
  </si>
  <si>
    <t>50% or Less</t>
  </si>
  <si>
    <t>% Field Capacity</t>
  </si>
  <si>
    <t>Plant Available Water Above Maximum Allowable Depletion</t>
  </si>
  <si>
    <t>Drip</t>
  </si>
  <si>
    <t>Furrow</t>
  </si>
  <si>
    <t>High Pressure Center Pivot</t>
  </si>
  <si>
    <t>Low Pressure Center Pivot</t>
  </si>
  <si>
    <t>Corn</t>
  </si>
  <si>
    <t>Inches/ft</t>
  </si>
  <si>
    <t>Available Water</t>
  </si>
  <si>
    <t>Inches</t>
  </si>
  <si>
    <t>Total inches in profile</t>
  </si>
  <si>
    <t>inches</t>
  </si>
  <si>
    <t>8a. Number of Shares Owned</t>
  </si>
  <si>
    <t>8b.  Expected Farm Yield Per Share</t>
  </si>
  <si>
    <t>8c. Expected Acre Feet                 (8a x 8b)</t>
  </si>
  <si>
    <r>
      <t xml:space="preserve">9. Net Amount of Water (in acre feet) </t>
    </r>
    <r>
      <rPr>
        <b/>
        <sz val="10"/>
        <rFont val="Arial Narrow"/>
        <family val="2"/>
      </rPr>
      <t>Leased FOR and FROM</t>
    </r>
    <r>
      <rPr>
        <sz val="10"/>
        <rFont val="Arial Narrow"/>
        <family val="2"/>
      </rPr>
      <t xml:space="preserve"> This Farm</t>
    </r>
  </si>
  <si>
    <t>10. Water (in acre feet) Required for Reclaiming Prior Depletions</t>
  </si>
  <si>
    <t>11. Total Expected Supply                                  (8c + 9 -10 + 4d)</t>
  </si>
  <si>
    <r>
      <t xml:space="preserve">12. What source was used for "Expected Farm Yield Per Share" data (for example: State Water Engineer, canal company)?  </t>
    </r>
    <r>
      <rPr>
        <sz val="10"/>
        <color indexed="56"/>
        <rFont val="Arial Narrow"/>
        <family val="2"/>
      </rPr>
      <t xml:space="preserve"> </t>
    </r>
    <r>
      <rPr>
        <sz val="12"/>
        <color indexed="12"/>
        <rFont val="Arial Narrow"/>
        <family val="2"/>
      </rPr>
      <t xml:space="preserve"> </t>
    </r>
  </si>
  <si>
    <t>Drop down menus/input</t>
  </si>
  <si>
    <t>Calculations</t>
  </si>
  <si>
    <t>Inputs from Drop Down Menu</t>
  </si>
  <si>
    <t>Gross Acre-Feet</t>
  </si>
  <si>
    <t>None</t>
  </si>
  <si>
    <t>2. Land Description Section-Township-Range and FSN/Tract/Field</t>
  </si>
  <si>
    <t>14. Crop Name/Type</t>
  </si>
  <si>
    <t>15. APH Yield</t>
  </si>
  <si>
    <t>16. Acres</t>
  </si>
  <si>
    <t>17. Irrigation Method (Furrow, Flood, High Efficiency Sprinkler, Low Efficiency Sprinkler, Drip)</t>
  </si>
  <si>
    <t xml:space="preserve">18. Percent Efficiency </t>
  </si>
  <si>
    <t>20. Gross Irrigation (inches per acre)</t>
  </si>
  <si>
    <t>21. Total Irrigation (Acre-inches)</t>
  </si>
  <si>
    <t xml:space="preserve">13b. Effective Precipitation </t>
  </si>
  <si>
    <t>Acre-Inches</t>
  </si>
  <si>
    <t>This tool was developed by Colorado State University Extension as a documentation aid for producers when assessing available irrigation water and making planting decisions.  Colorado State University and the USDA do not control nor guarantee the accuracy, relevance, timeliness, or completeness of this information.</t>
  </si>
  <si>
    <t>Precipitation Data - Western Regional Climate Center</t>
  </si>
  <si>
    <t>Usable soil water storage</t>
  </si>
  <si>
    <t>Soil water storage factor</t>
  </si>
  <si>
    <t>Lamar</t>
  </si>
  <si>
    <t>Precip</t>
  </si>
  <si>
    <t>Etc</t>
  </si>
  <si>
    <t>Effective Precip</t>
  </si>
  <si>
    <t>Holly</t>
  </si>
  <si>
    <t>Jan</t>
  </si>
  <si>
    <t>Febr</t>
  </si>
  <si>
    <t>mar</t>
  </si>
  <si>
    <t>Apr</t>
  </si>
  <si>
    <t>May</t>
  </si>
  <si>
    <t>June</t>
  </si>
  <si>
    <t>Jul</t>
  </si>
  <si>
    <t>Aug</t>
  </si>
  <si>
    <t>Sep</t>
  </si>
  <si>
    <t>Oct</t>
  </si>
  <si>
    <t>Nov</t>
  </si>
  <si>
    <t>Dec</t>
  </si>
  <si>
    <t>Total</t>
  </si>
  <si>
    <t>Colorado Springs</t>
  </si>
  <si>
    <t>Rocky Ford</t>
  </si>
  <si>
    <t>Springfield</t>
  </si>
  <si>
    <t>Trinidad</t>
  </si>
  <si>
    <t>Walsenburg</t>
  </si>
  <si>
    <t>akron</t>
  </si>
  <si>
    <t>Wray</t>
  </si>
  <si>
    <t>19. Consumptive Water Use inches per acre</t>
  </si>
  <si>
    <t xml:space="preserve">13a.  Average plant available soil moisture in field.  Samples taken at a minimum of 3 points in field.  See documentation tool guide for instructions. </t>
  </si>
  <si>
    <t>Coarse sands</t>
  </si>
  <si>
    <t>Fine sands</t>
  </si>
  <si>
    <t>Loamy sands</t>
  </si>
  <si>
    <t>Sandy loams</t>
  </si>
  <si>
    <t>Fine sandy loams</t>
  </si>
  <si>
    <t>Sandy clay loams</t>
  </si>
  <si>
    <t xml:space="preserve">Loams </t>
  </si>
  <si>
    <t>Silt loams</t>
  </si>
  <si>
    <t>Silty clay loams</t>
  </si>
  <si>
    <t>Clay loam</t>
  </si>
  <si>
    <t xml:space="preserve">Silty clay  </t>
  </si>
  <si>
    <t xml:space="preserve">Clay  </t>
  </si>
  <si>
    <t>Wheat</t>
  </si>
  <si>
    <t>Etc Summer</t>
  </si>
  <si>
    <t>Etc Wheat</t>
  </si>
  <si>
    <t>Summer Crop - Look up effective precipitation on tab 'Effective Precipitation Tables'</t>
  </si>
  <si>
    <t>Winter Crop - Look up effective precipitation on tab 'Effective Precipitation Tables'</t>
  </si>
  <si>
    <t>Summer</t>
  </si>
  <si>
    <t>Bessemer</t>
  </si>
  <si>
    <t>Highline</t>
  </si>
  <si>
    <t>Oxford</t>
  </si>
  <si>
    <t>Otero</t>
  </si>
  <si>
    <t>Catlin</t>
  </si>
  <si>
    <t>Holbrook</t>
  </si>
  <si>
    <t>Fort Lyon</t>
  </si>
  <si>
    <t>Consolidated</t>
  </si>
  <si>
    <t>Fort Bent</t>
  </si>
  <si>
    <t>Amity</t>
  </si>
  <si>
    <t>Hyde</t>
  </si>
  <si>
    <t>Buffalo</t>
  </si>
  <si>
    <t>Average Direct Flow Supply</t>
  </si>
  <si>
    <t>Ditch Factors</t>
  </si>
  <si>
    <t>Total Ditch Company Shares</t>
  </si>
  <si>
    <t>Ditch Loss Factor</t>
  </si>
  <si>
    <t>1950-2014 average for ditches 1-8</t>
  </si>
  <si>
    <r>
      <t xml:space="preserve">1984-2014 average for ditches 9-13 </t>
    </r>
    <r>
      <rPr>
        <i/>
        <sz val="9"/>
        <color theme="1"/>
        <rFont val="Calibri"/>
        <family val="2"/>
        <scheme val="minor"/>
      </rPr>
      <t>(blw John Martin Res)</t>
    </r>
  </si>
  <si>
    <t>Alfalfa</t>
  </si>
  <si>
    <t xml:space="preserve">Average Yield Per Share  </t>
  </si>
  <si>
    <t>Average Lateral Delivery (Apply Ditch Loss Factor to Total Headgate Delivery)</t>
  </si>
  <si>
    <t xml:space="preserve">Average direct flow plus average storage </t>
  </si>
  <si>
    <t>Canal</t>
  </si>
  <si>
    <t>Avg Yield</t>
  </si>
  <si>
    <t>Complete the Producer Documentation Tool according to this table.</t>
  </si>
  <si>
    <t>Item</t>
  </si>
  <si>
    <t>Entry</t>
  </si>
  <si>
    <t>Date</t>
  </si>
  <si>
    <t>Enter the date you decided to plant or not plant.</t>
  </si>
  <si>
    <t>Producer name, address, home telephone number and cell phone number.</t>
  </si>
  <si>
    <t>Enter the Land Legal Description and the FSA Farm Number/Tract/Field</t>
  </si>
  <si>
    <t>3a</t>
  </si>
  <si>
    <t>3b</t>
  </si>
  <si>
    <t>Lateral number or name.</t>
  </si>
  <si>
    <t>4a</t>
  </si>
  <si>
    <t>Source of supplemental water (ditch, well, other, none). Select from dropdown box</t>
  </si>
  <si>
    <t>4b</t>
  </si>
  <si>
    <t>Name of water augmentation association.</t>
  </si>
  <si>
    <t>4c</t>
  </si>
  <si>
    <t xml:space="preserve">10 year average amount of supplemental water in acre feet (add all types together). </t>
  </si>
  <si>
    <t>4d</t>
  </si>
  <si>
    <t xml:space="preserve">Amount of water allocated to you by water augmentation association for THIS year in acre feet. </t>
  </si>
  <si>
    <t>5a</t>
  </si>
  <si>
    <t>Enter the number of shares owned for this farm.</t>
  </si>
  <si>
    <t>5b</t>
  </si>
  <si>
    <t>5c</t>
  </si>
  <si>
    <t>Result of multiplying item 5a and item 5b. Automatic Calculation</t>
  </si>
  <si>
    <t>Enter the number of shares being leased FOR and FROM this farm.</t>
  </si>
  <si>
    <t>Result of adding item 4c and item 5c and item 6c.  This is the total supply in acre feet. Automatic Calculation</t>
  </si>
  <si>
    <t>8a</t>
  </si>
  <si>
    <t>8b</t>
  </si>
  <si>
    <t>8c</t>
  </si>
  <si>
    <t>Expected Acre Feet  8a multilied by 8b. Automatic Calculation</t>
  </si>
  <si>
    <t>Water (in acre feet) Required for Reclaiming Prior Depletions</t>
  </si>
  <si>
    <t>Total Expected Supply  result of 4d + 8c + 9 - 10. Automatic Calculation</t>
  </si>
  <si>
    <t>List the source (e.g. Division water engineer's estimates, Canal Company).  If using a source other then the Division water engineer's office estimates, please list the source. The expected yield per share must take into account any ditch loss transit factor.</t>
  </si>
  <si>
    <t>13a</t>
  </si>
  <si>
    <t>13b</t>
  </si>
  <si>
    <t>Effective Precipitation Look up effective precipitation on tab 'Effective Precipitation Tables'</t>
  </si>
  <si>
    <t>Enter the crop name and type.</t>
  </si>
  <si>
    <t>Enter your Approved APH Yield for the crop.</t>
  </si>
  <si>
    <t>Enter the number of acres you intend to plant to the nearest tenth.</t>
  </si>
  <si>
    <t>Select the type of irrigation system with dropdown box</t>
  </si>
  <si>
    <t>Value automatically selected</t>
  </si>
  <si>
    <t>Enter the consumptive use water value from the Consumptive Use by Crop table found at http://www.ext.colostate.edu/pubs/crops/04718.html</t>
  </si>
  <si>
    <t xml:space="preserve">Gross irrigation (inches per acre) automatically calculated </t>
  </si>
  <si>
    <t xml:space="preserve">Total Irrigation (Acre-Inches) automatically calculated </t>
  </si>
  <si>
    <t xml:space="preserve">Irrigation Needed (Acre-feet) automatically calculated </t>
  </si>
  <si>
    <t>Use this area to explain the decision to plant and irrigate or to not plant--Yes or No will be listed</t>
  </si>
  <si>
    <t>Shows the calculation of the acres, gross acre-feet, and acre-inches of the maximum acres that could be grown if 23 is listed as "No"</t>
  </si>
  <si>
    <t>Irrigated Crops Currently Planted Requiring Irrigation</t>
  </si>
  <si>
    <t>23. Irrigation Water Supply Remaining for Intended Crop Plantings</t>
  </si>
  <si>
    <t>24. Crop Name/Type</t>
  </si>
  <si>
    <t>25. APH Yield</t>
  </si>
  <si>
    <t>26. Acres</t>
  </si>
  <si>
    <t>27. Irrigation Method (Furrow, Flood, High Efficiency Sprinkler, Low Efficiency Sprinkler, Drip)</t>
  </si>
  <si>
    <t xml:space="preserve">28. Percent Efficiency </t>
  </si>
  <si>
    <t>29. Consumptive Water Use inches per acre</t>
  </si>
  <si>
    <t>30. Gross Irrigation (inches per acre)</t>
  </si>
  <si>
    <t>31. Total Irrigation (Acre-inches)</t>
  </si>
  <si>
    <t>Total Water Needed for Existing Crops</t>
  </si>
  <si>
    <r>
      <t xml:space="preserve">33. Will there be enough water expected to generate the APH yield for the  </t>
    </r>
    <r>
      <rPr>
        <u/>
        <sz val="10"/>
        <rFont val="Arial Narrow"/>
        <family val="2"/>
      </rPr>
      <t>crop intended to be planted</t>
    </r>
    <r>
      <rPr>
        <sz val="10"/>
        <rFont val="Arial Narrow"/>
        <family val="2"/>
      </rPr>
      <t>?</t>
    </r>
  </si>
  <si>
    <t>34. Adjusted to water supply.  How many acres of the crop could be grown?</t>
  </si>
  <si>
    <t>Version 3.7</t>
  </si>
  <si>
    <t>22. Irrigation Needed (Acre-Feet)</t>
  </si>
  <si>
    <t>32. Irrigation Needed (Acre-Feet)</t>
  </si>
  <si>
    <t>Select  the Ditch/Canal company from dropdown box.</t>
  </si>
  <si>
    <t>Irrigation Water Supply Remaining for Intended Crop Plantings automatically calculated</t>
  </si>
  <si>
    <t xml:space="preserve">5b.  Average Farm Yield Per Share </t>
  </si>
  <si>
    <t>Value selected automatically.  This figure represents average producer headgate yield per share and takes into account any ditch loss transit factor. Expressed in acre feet.</t>
  </si>
  <si>
    <t>Enter the net acre feet of water being leased FOR and FROM this farm.</t>
  </si>
  <si>
    <t>Expected Farm Yield Per Share. Expressed in acre feet</t>
  </si>
  <si>
    <t>Enter the crop name and type of each crop already planted and requiring irrigation.</t>
  </si>
  <si>
    <t>Enter your Approved APH Yield for the crop, if insured.</t>
  </si>
  <si>
    <t>Enter the consumptive use water value from the Consumptive Use by Crop table found at http://www.ext.colostate.edu/pubs/crops/04718.html Only include the months remaining in the season requiring irrigation.</t>
  </si>
  <si>
    <t>1965-2013</t>
  </si>
  <si>
    <t>River Transit Loss factor</t>
  </si>
  <si>
    <t>Net Stored Delivery</t>
  </si>
  <si>
    <t>Gross Amount avg of all years available</t>
  </si>
  <si>
    <t>Average Storage of years</t>
  </si>
  <si>
    <t>1966-2013</t>
  </si>
  <si>
    <t>1975-2013</t>
  </si>
  <si>
    <t>1992-2013</t>
  </si>
  <si>
    <t>2001-2013</t>
  </si>
  <si>
    <t>Use of this documentation tool is strictly voluntary.  Producers may work individually with their insurance provider to document their planting decisions.  Tool is not all-inclusive.   It does not determine whether or not an insurable cause of loss is present nor determine the number of acres are eligible for prevented planting.  This tool is not intended to replace any other documents required to be completed for insurance eligibility and payment determinations.  As such, acceptance of any information included in the tool is subject to verification and approval by the insurance provider.</t>
  </si>
  <si>
    <t>Irrigation Supply Estimates Disclaimer:  The irrigation water supply diversion estimates were calculated using standard statistical methods in water resources studies.  They are developed by those in the business of regulating or monitoring water availability. Estimates are based on the best information available at the time the data are released. Because these numbers are only estimates and are subject to individual interpretation, the state and division engineers cannot be held liable for any loss that might result from an individual relying solely on these diversion estimates for their management decisions. Actual irrigation supplies may differ. The USDA does not control or guarantee the accuracy, relevance, timeliness, or completeness of this information. Producers and/or approved insurance providers may provide information to be used in lieu of or in addition to these figures to support planting decisions.</t>
  </si>
  <si>
    <t xml:space="preserve">7. Total Supply  (4c + 5c + 6)                                                                                                                                    </t>
  </si>
  <si>
    <t>Average plant available soil moisture. Sample areas representative of field(s) intended for planting.   Take a sample for every 40-60 acres. For more information determining gravimetric soil water see Colorado State University Extension Article:  http://www.ext.colostate.edu/drought/soilmoist.html.  For more information Estimating Soil Moisture by Feel and Appearance see USDA publication http://www.nrcs.usda.gov/Internet/FSE_DOCUMENTS/nrcs144p2_051845.pdf</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</si>
</sst>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0.0"/>
    <numFmt numFmtId="165" formatCode="_(* #,##0_);_(* \(#,##0\);_(* &quot;-&quot;??_);_(@_)"/>
    <numFmt numFmtId="166" formatCode="_(* #,##0.000_);_(* \(#,##0.000\);_(* &quot;-&quot;??_);_(@_)"/>
    <numFmt numFmtId="167" formatCode="0.000"/>
    <numFmt numFmtId="168" formatCode="0.0%"/>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9"/>
      <name val="Arial"/>
      <family val="2"/>
    </font>
    <font>
      <b/>
      <sz val="9"/>
      <name val="Arial"/>
      <family val="2"/>
    </font>
    <font>
      <sz val="10"/>
      <name val="Arial"/>
      <family val="2"/>
    </font>
    <font>
      <sz val="10"/>
      <name val="Arial Narrow"/>
      <family val="2"/>
    </font>
    <font>
      <b/>
      <sz val="10"/>
      <name val="Arial Narrow"/>
      <family val="2"/>
    </font>
    <font>
      <u/>
      <sz val="10"/>
      <name val="Arial Narrow"/>
      <family val="2"/>
    </font>
    <font>
      <sz val="12"/>
      <color indexed="12"/>
      <name val="Arial Narrow"/>
      <family val="2"/>
    </font>
    <font>
      <i/>
      <sz val="8"/>
      <name val="Arial"/>
      <family val="2"/>
    </font>
    <font>
      <sz val="8"/>
      <name val="Arial"/>
      <family val="2"/>
    </font>
    <font>
      <sz val="10"/>
      <color indexed="56"/>
      <name val="Arial Narrow"/>
      <family val="2"/>
    </font>
    <font>
      <sz val="20"/>
      <name val="Arial Narrow"/>
      <family val="2"/>
    </font>
    <font>
      <b/>
      <sz val="10"/>
      <color theme="1"/>
      <name val="Arial Narrow"/>
      <family val="2"/>
    </font>
    <font>
      <sz val="10"/>
      <name val="Arial"/>
      <family val="2"/>
    </font>
    <font>
      <sz val="12"/>
      <color rgb="FF0000FF"/>
      <name val="Arial Narrow"/>
      <family val="2"/>
    </font>
    <font>
      <sz val="12"/>
      <name val="Arial Narrow"/>
      <family val="2"/>
    </font>
    <font>
      <sz val="12"/>
      <name val="Arial"/>
      <family val="2"/>
    </font>
    <font>
      <sz val="12"/>
      <color rgb="FF0070C0"/>
      <name val="Arial Narrow"/>
      <family val="2"/>
    </font>
    <font>
      <sz val="12"/>
      <color theme="1"/>
      <name val="Arial Narrow"/>
      <family val="2"/>
    </font>
    <font>
      <sz val="10"/>
      <name val="Arial"/>
      <family val="2"/>
    </font>
    <font>
      <i/>
      <sz val="9"/>
      <color theme="1"/>
      <name val="Calibri"/>
      <family val="2"/>
      <scheme val="minor"/>
    </font>
    <font>
      <u/>
      <sz val="10"/>
      <color theme="10"/>
      <name val="Arial"/>
      <family val="2"/>
    </font>
    <font>
      <sz val="10"/>
      <color theme="1"/>
      <name val="Arial Narrow"/>
      <family val="2"/>
    </font>
    <font>
      <b/>
      <sz val="16"/>
      <color theme="1"/>
      <name val="Calibri"/>
      <family val="2"/>
      <scheme val="minor"/>
    </font>
    <font>
      <sz val="12"/>
      <color theme="1"/>
      <name val="Calibri"/>
      <family val="2"/>
      <scheme val="minor"/>
    </font>
    <font>
      <b/>
      <sz val="12"/>
      <name val="Calibri"/>
      <family val="2"/>
      <scheme val="minor"/>
    </font>
    <font>
      <sz val="12"/>
      <name val="Calibri"/>
      <family val="2"/>
      <scheme val="minor"/>
    </font>
    <font>
      <sz val="16"/>
      <name val="Arial Narrow"/>
      <family val="2"/>
    </font>
    <font>
      <sz val="8"/>
      <name val="Arial Narrow"/>
      <family val="2"/>
    </font>
  </fonts>
  <fills count="1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62">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s>
  <cellStyleXfs count="7">
    <xf numFmtId="0" fontId="0" fillId="0" borderId="0"/>
    <xf numFmtId="9" fontId="5" fillId="0" borderId="0" applyFont="0" applyFill="0" applyBorder="0" applyAlignment="0" applyProtection="0"/>
    <xf numFmtId="0" fontId="4" fillId="0" borderId="0"/>
    <xf numFmtId="43" fontId="26" fillId="0" borderId="0" applyFont="0" applyFill="0" applyBorder="0" applyAlignment="0" applyProtection="0"/>
    <xf numFmtId="0" fontId="5" fillId="0" borderId="0"/>
    <xf numFmtId="0" fontId="28" fillId="0" borderId="0" applyNumberFormat="0" applyFill="0" applyBorder="0" applyAlignment="0" applyProtection="0"/>
    <xf numFmtId="0" fontId="1" fillId="0" borderId="0"/>
  </cellStyleXfs>
  <cellXfs count="306">
    <xf numFmtId="0" fontId="0" fillId="0" borderId="0" xfId="0"/>
    <xf numFmtId="0" fontId="10" fillId="0" borderId="0" xfId="0" applyFont="1"/>
    <xf numFmtId="9" fontId="0" fillId="0" borderId="0" xfId="0" applyNumberFormat="1"/>
    <xf numFmtId="0" fontId="5" fillId="0" borderId="0" xfId="0" applyFont="1"/>
    <xf numFmtId="0" fontId="4" fillId="0" borderId="0" xfId="2"/>
    <xf numFmtId="2" fontId="4" fillId="0" borderId="0" xfId="2" applyNumberFormat="1"/>
    <xf numFmtId="0" fontId="4" fillId="5" borderId="0" xfId="2" applyFill="1"/>
    <xf numFmtId="2" fontId="4" fillId="5" borderId="0" xfId="2" applyNumberFormat="1" applyFill="1"/>
    <xf numFmtId="0" fontId="0" fillId="0" borderId="0" xfId="0" applyProtection="1"/>
    <xf numFmtId="0" fontId="10" fillId="0" borderId="0" xfId="0" applyFont="1" applyProtection="1"/>
    <xf numFmtId="0" fontId="10" fillId="0" borderId="0" xfId="0" applyFont="1" applyBorder="1" applyProtection="1"/>
    <xf numFmtId="0" fontId="11" fillId="0" borderId="4" xfId="0" applyFont="1" applyBorder="1" applyAlignment="1" applyProtection="1">
      <alignment horizontal="center" vertical="center" wrapText="1"/>
    </xf>
    <xf numFmtId="0" fontId="10" fillId="3" borderId="4" xfId="0" applyFont="1" applyFill="1" applyBorder="1" applyAlignment="1" applyProtection="1">
      <alignment horizontal="center" vertical="center"/>
    </xf>
    <xf numFmtId="0" fontId="0" fillId="5" borderId="4" xfId="0" applyFill="1" applyBorder="1" applyAlignment="1" applyProtection="1">
      <alignment horizontal="center" vertical="center"/>
    </xf>
    <xf numFmtId="0" fontId="0" fillId="6" borderId="4" xfId="0" applyFill="1" applyBorder="1" applyAlignment="1" applyProtection="1">
      <alignment horizontal="center" vertical="center"/>
    </xf>
    <xf numFmtId="0" fontId="11" fillId="0" borderId="4" xfId="0" applyFont="1" applyFill="1" applyBorder="1" applyAlignment="1" applyProtection="1">
      <alignment horizontal="center" vertical="center" wrapText="1"/>
    </xf>
    <xf numFmtId="9" fontId="11" fillId="5" borderId="4" xfId="1" applyFont="1" applyFill="1" applyBorder="1" applyAlignment="1" applyProtection="1">
      <alignment horizontal="center" vertical="center" wrapText="1"/>
    </xf>
    <xf numFmtId="164" fontId="0" fillId="6" borderId="4" xfId="0" applyNumberFormat="1" applyFill="1" applyBorder="1" applyAlignment="1" applyProtection="1">
      <alignment horizontal="center" vertical="center"/>
    </xf>
    <xf numFmtId="0" fontId="11" fillId="0" borderId="4" xfId="0" applyFont="1" applyBorder="1" applyAlignment="1" applyProtection="1">
      <alignment horizontal="center" vertical="center"/>
    </xf>
    <xf numFmtId="0" fontId="11" fillId="0" borderId="0" xfId="0" applyFont="1" applyFill="1" applyBorder="1" applyAlignment="1" applyProtection="1">
      <alignment vertical="center"/>
    </xf>
    <xf numFmtId="0" fontId="0" fillId="0" borderId="0" xfId="0" applyFill="1" applyBorder="1" applyProtection="1"/>
    <xf numFmtId="0" fontId="6" fillId="0" borderId="0" xfId="0" applyFont="1" applyProtection="1"/>
    <xf numFmtId="0" fontId="0" fillId="0" borderId="0" xfId="0" applyAlignment="1" applyProtection="1">
      <alignment horizontal="center" vertical="center"/>
    </xf>
    <xf numFmtId="0" fontId="11" fillId="3" borderId="4" xfId="0" applyFont="1" applyFill="1" applyBorder="1" applyAlignment="1" applyProtection="1">
      <alignment horizontal="center" vertical="center" wrapText="1"/>
    </xf>
    <xf numFmtId="0" fontId="0" fillId="3" borderId="19" xfId="0" applyFill="1" applyBorder="1" applyAlignment="1" applyProtection="1">
      <alignment horizontal="center" vertical="center"/>
    </xf>
    <xf numFmtId="0" fontId="14" fillId="0" borderId="23" xfId="0" applyFont="1" applyBorder="1" applyAlignment="1" applyProtection="1">
      <alignment horizontal="center" vertical="center" wrapText="1"/>
      <protection locked="0"/>
    </xf>
    <xf numFmtId="0" fontId="8" fillId="0" borderId="24" xfId="0" applyFont="1" applyBorder="1" applyAlignment="1" applyProtection="1">
      <alignment horizontal="center" vertical="center" wrapText="1"/>
    </xf>
    <xf numFmtId="0" fontId="5" fillId="0" borderId="0" xfId="0" applyFont="1" applyFill="1" applyBorder="1" applyAlignment="1">
      <alignment horizontal="left"/>
    </xf>
    <xf numFmtId="0" fontId="5" fillId="0" borderId="1" xfId="0" applyFont="1" applyFill="1" applyBorder="1" applyAlignment="1">
      <alignment horizontal="left"/>
    </xf>
    <xf numFmtId="2" fontId="5" fillId="0" borderId="0" xfId="0" applyNumberFormat="1" applyFont="1" applyFill="1" applyBorder="1" applyAlignment="1">
      <alignment horizontal="center"/>
    </xf>
    <xf numFmtId="2" fontId="5" fillId="0" borderId="1" xfId="0" applyNumberFormat="1" applyFont="1" applyFill="1" applyBorder="1" applyAlignment="1">
      <alignment horizontal="center"/>
    </xf>
    <xf numFmtId="0" fontId="3" fillId="0" borderId="0" xfId="2" applyFont="1"/>
    <xf numFmtId="0" fontId="24"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0" xfId="0" applyFont="1" applyBorder="1" applyAlignment="1" applyProtection="1">
      <alignment horizontal="left" vertical="center" wrapText="1"/>
    </xf>
    <xf numFmtId="0" fontId="24" fillId="0" borderId="26" xfId="0" applyFont="1" applyBorder="1" applyAlignment="1" applyProtection="1">
      <alignment horizontal="center" vertical="center" wrapText="1"/>
    </xf>
    <xf numFmtId="0" fontId="8" fillId="0" borderId="26" xfId="0" applyFont="1" applyBorder="1" applyAlignment="1" applyProtection="1">
      <alignment horizontal="center" vertical="center" wrapText="1"/>
    </xf>
    <xf numFmtId="0" fontId="2" fillId="0" borderId="0" xfId="2" applyFont="1"/>
    <xf numFmtId="165" fontId="0" fillId="0" borderId="0" xfId="3" applyNumberFormat="1" applyFont="1"/>
    <xf numFmtId="0" fontId="14" fillId="0" borderId="4" xfId="0" applyFont="1" applyBorder="1" applyAlignment="1" applyProtection="1">
      <alignment horizontal="center" vertical="center" wrapText="1"/>
      <protection locked="0"/>
    </xf>
    <xf numFmtId="0" fontId="0" fillId="0" borderId="0" xfId="0" applyAlignment="1">
      <alignment horizontal="center" wrapText="1"/>
    </xf>
    <xf numFmtId="0" fontId="11" fillId="0" borderId="4" xfId="0" applyFont="1" applyFill="1" applyBorder="1" applyAlignment="1" applyProtection="1">
      <alignment horizontal="center" vertical="center"/>
    </xf>
    <xf numFmtId="0" fontId="18" fillId="0" borderId="0" xfId="0" applyFont="1" applyFill="1" applyBorder="1" applyAlignment="1" applyProtection="1">
      <alignment vertical="center"/>
    </xf>
    <xf numFmtId="0" fontId="9" fillId="0" borderId="0" xfId="0" applyFont="1" applyFill="1" applyBorder="1" applyAlignment="1" applyProtection="1">
      <alignment vertical="center"/>
    </xf>
    <xf numFmtId="0" fontId="11" fillId="0" borderId="0" xfId="0" applyFont="1" applyFill="1" applyBorder="1" applyAlignment="1" applyProtection="1">
      <alignment vertical="center" wrapText="1"/>
    </xf>
    <xf numFmtId="0" fontId="19" fillId="0" borderId="23" xfId="0" applyFont="1" applyBorder="1" applyAlignment="1" applyProtection="1">
      <alignment horizontal="center" vertical="center"/>
    </xf>
    <xf numFmtId="1" fontId="19" fillId="6" borderId="24" xfId="0" applyNumberFormat="1" applyFont="1" applyFill="1" applyBorder="1" applyAlignment="1" applyProtection="1">
      <alignment horizontal="center" vertical="center"/>
    </xf>
    <xf numFmtId="0" fontId="19" fillId="0" borderId="24" xfId="0" applyFont="1" applyBorder="1" applyAlignment="1" applyProtection="1">
      <alignment horizontal="center" vertical="center" wrapText="1"/>
    </xf>
    <xf numFmtId="164" fontId="12" fillId="6" borderId="24" xfId="0" applyNumberFormat="1" applyFont="1" applyFill="1" applyBorder="1" applyAlignment="1" applyProtection="1">
      <alignment horizontal="center" vertical="center"/>
    </xf>
    <xf numFmtId="0" fontId="11" fillId="0" borderId="20" xfId="0" applyFont="1" applyBorder="1" applyAlignment="1" applyProtection="1">
      <alignment horizontal="center" vertical="center" wrapText="1"/>
    </xf>
    <xf numFmtId="164" fontId="0" fillId="6" borderId="20" xfId="0" applyNumberFormat="1" applyFill="1" applyBorder="1" applyAlignment="1" applyProtection="1">
      <alignment horizontal="center" vertical="center"/>
    </xf>
    <xf numFmtId="9" fontId="11" fillId="5" borderId="24" xfId="1" applyFont="1" applyFill="1" applyBorder="1" applyAlignment="1" applyProtection="1">
      <alignment horizontal="center" vertical="center" wrapText="1"/>
    </xf>
    <xf numFmtId="164" fontId="0" fillId="6" borderId="24" xfId="0" applyNumberFormat="1" applyFill="1" applyBorder="1" applyAlignment="1" applyProtection="1">
      <alignment horizontal="center" vertical="center"/>
    </xf>
    <xf numFmtId="164" fontId="0" fillId="6" borderId="25" xfId="0" applyNumberFormat="1" applyFill="1" applyBorder="1" applyAlignment="1" applyProtection="1">
      <alignment horizontal="center" vertical="center"/>
    </xf>
    <xf numFmtId="0" fontId="0" fillId="4" borderId="4" xfId="0" applyFill="1" applyBorder="1" applyProtection="1"/>
    <xf numFmtId="0" fontId="0" fillId="5" borderId="4" xfId="0" applyFill="1" applyBorder="1" applyProtection="1"/>
    <xf numFmtId="0" fontId="0" fillId="6" borderId="4" xfId="0" applyFill="1" applyBorder="1" applyProtection="1"/>
    <xf numFmtId="0" fontId="31" fillId="0" borderId="0" xfId="6" applyFont="1" applyAlignment="1"/>
    <xf numFmtId="0" fontId="31" fillId="0" borderId="0" xfId="6" applyFont="1" applyBorder="1" applyAlignment="1">
      <alignment horizontal="left" vertical="top"/>
    </xf>
    <xf numFmtId="0" fontId="31" fillId="0" borderId="0" xfId="6" applyFont="1" applyBorder="1" applyAlignment="1">
      <alignment wrapText="1"/>
    </xf>
    <xf numFmtId="0" fontId="31" fillId="0" borderId="0" xfId="6" applyFont="1" applyBorder="1" applyAlignment="1"/>
    <xf numFmtId="0" fontId="32" fillId="0" borderId="27" xfId="6" applyFont="1" applyBorder="1" applyAlignment="1">
      <alignment horizontal="left" vertical="top"/>
    </xf>
    <xf numFmtId="0" fontId="31" fillId="0" borderId="32" xfId="6" applyFont="1" applyBorder="1" applyAlignment="1">
      <alignment horizontal="center" vertical="center"/>
    </xf>
    <xf numFmtId="0" fontId="33" fillId="0" borderId="30" xfId="6" applyFont="1" applyFill="1" applyBorder="1" applyAlignment="1">
      <alignment horizontal="center" vertical="center" wrapText="1"/>
    </xf>
    <xf numFmtId="0" fontId="31" fillId="0" borderId="0" xfId="6" applyFont="1" applyFill="1" applyAlignment="1"/>
    <xf numFmtId="0" fontId="33" fillId="0" borderId="32" xfId="6" applyFont="1" applyBorder="1" applyAlignment="1">
      <alignment horizontal="center" vertical="center"/>
    </xf>
    <xf numFmtId="0" fontId="31" fillId="0" borderId="30" xfId="6" applyFont="1" applyBorder="1" applyAlignment="1">
      <alignment horizontal="center" vertical="center"/>
    </xf>
    <xf numFmtId="0" fontId="33" fillId="0" borderId="33" xfId="6" applyFont="1" applyBorder="1" applyAlignment="1">
      <alignment horizontal="center" vertical="center" wrapText="1"/>
    </xf>
    <xf numFmtId="0" fontId="31" fillId="0" borderId="35" xfId="6" applyFont="1" applyBorder="1" applyAlignment="1">
      <alignment horizontal="center" vertical="center"/>
    </xf>
    <xf numFmtId="0" fontId="31" fillId="0" borderId="0" xfId="6" applyFont="1" applyAlignment="1">
      <alignment horizontal="left" vertical="top"/>
    </xf>
    <xf numFmtId="0" fontId="31" fillId="0" borderId="0" xfId="6" applyFont="1" applyAlignment="1">
      <alignment wrapText="1"/>
    </xf>
    <xf numFmtId="0" fontId="12" fillId="8" borderId="50" xfId="0" applyFont="1" applyFill="1" applyBorder="1" applyAlignment="1" applyProtection="1">
      <alignment vertical="center"/>
    </xf>
    <xf numFmtId="164" fontId="14" fillId="0" borderId="4" xfId="0" applyNumberFormat="1" applyFont="1" applyBorder="1" applyAlignment="1" applyProtection="1">
      <alignment horizontal="center" vertical="center" wrapText="1"/>
      <protection locked="0"/>
    </xf>
    <xf numFmtId="164" fontId="11" fillId="0" borderId="4" xfId="0" applyNumberFormat="1" applyFont="1" applyFill="1" applyBorder="1" applyAlignment="1" applyProtection="1">
      <alignment horizontal="center" vertical="center" wrapText="1"/>
    </xf>
    <xf numFmtId="164" fontId="14" fillId="0" borderId="24" xfId="0" applyNumberFormat="1" applyFont="1" applyBorder="1" applyAlignment="1" applyProtection="1">
      <alignment horizontal="center" vertical="center" wrapText="1"/>
      <protection locked="0"/>
    </xf>
    <xf numFmtId="0" fontId="33" fillId="0" borderId="11" xfId="6" applyFont="1" applyBorder="1" applyAlignment="1">
      <alignment vertical="center"/>
    </xf>
    <xf numFmtId="0" fontId="31" fillId="0" borderId="34" xfId="6" applyFont="1" applyBorder="1" applyAlignment="1">
      <alignment vertical="center"/>
    </xf>
    <xf numFmtId="0" fontId="5" fillId="9" borderId="0" xfId="0" applyFont="1" applyFill="1" applyAlignment="1">
      <alignment horizontal="center" wrapText="1"/>
    </xf>
    <xf numFmtId="165" fontId="0" fillId="9" borderId="0" xfId="3" applyNumberFormat="1" applyFont="1" applyFill="1"/>
    <xf numFmtId="0" fontId="0" fillId="9" borderId="0" xfId="0" applyFill="1"/>
    <xf numFmtId="0" fontId="0" fillId="10" borderId="0" xfId="0" applyFill="1" applyAlignment="1">
      <alignment horizontal="center" wrapText="1"/>
    </xf>
    <xf numFmtId="165" fontId="0" fillId="10" borderId="0" xfId="3" applyNumberFormat="1" applyFont="1" applyFill="1"/>
    <xf numFmtId="0" fontId="0" fillId="10" borderId="0" xfId="0" applyFill="1"/>
    <xf numFmtId="0" fontId="5" fillId="11" borderId="0" xfId="0" applyFont="1" applyFill="1" applyAlignment="1">
      <alignment horizontal="center" wrapText="1"/>
    </xf>
    <xf numFmtId="0" fontId="5" fillId="11" borderId="0" xfId="0" applyFont="1" applyFill="1"/>
    <xf numFmtId="0" fontId="0" fillId="11" borderId="0" xfId="0" applyFill="1"/>
    <xf numFmtId="168" fontId="0" fillId="11" borderId="0" xfId="0" applyNumberFormat="1" applyFill="1" applyAlignment="1">
      <alignment horizontal="center"/>
    </xf>
    <xf numFmtId="165" fontId="0" fillId="11" borderId="0" xfId="3" applyNumberFormat="1" applyFont="1" applyFill="1"/>
    <xf numFmtId="0" fontId="0" fillId="12" borderId="0" xfId="0" applyFill="1" applyAlignment="1">
      <alignment horizontal="center" wrapText="1"/>
    </xf>
    <xf numFmtId="0" fontId="0" fillId="12" borderId="0" xfId="0" applyFill="1"/>
    <xf numFmtId="165" fontId="0" fillId="12" borderId="0" xfId="3" applyNumberFormat="1" applyFont="1" applyFill="1" applyAlignment="1">
      <alignment horizontal="center" wrapText="1"/>
    </xf>
    <xf numFmtId="165" fontId="0" fillId="12" borderId="0" xfId="3" applyNumberFormat="1" applyFont="1" applyFill="1"/>
    <xf numFmtId="10" fontId="0" fillId="12" borderId="0" xfId="1" applyNumberFormat="1" applyFont="1" applyFill="1"/>
    <xf numFmtId="0" fontId="5" fillId="13" borderId="0" xfId="0" applyFont="1" applyFill="1" applyAlignment="1">
      <alignment horizontal="center" wrapText="1"/>
    </xf>
    <xf numFmtId="165" fontId="0" fillId="13" borderId="0" xfId="3" applyNumberFormat="1" applyFont="1" applyFill="1"/>
    <xf numFmtId="0" fontId="0" fillId="13" borderId="0" xfId="0" applyFill="1"/>
    <xf numFmtId="0" fontId="5" fillId="14" borderId="0" xfId="0" applyFont="1" applyFill="1" applyAlignment="1">
      <alignment horizontal="center" wrapText="1"/>
    </xf>
    <xf numFmtId="166" fontId="0" fillId="14" borderId="0" xfId="0" applyNumberFormat="1" applyFill="1"/>
    <xf numFmtId="0" fontId="0" fillId="14" borderId="0" xfId="0" applyFill="1"/>
    <xf numFmtId="0" fontId="5" fillId="4" borderId="4" xfId="0" applyFont="1" applyFill="1" applyBorder="1" applyAlignment="1">
      <alignment horizontal="center" wrapText="1"/>
    </xf>
    <xf numFmtId="0" fontId="5" fillId="4" borderId="4" xfId="0" applyFont="1" applyFill="1" applyBorder="1"/>
    <xf numFmtId="0" fontId="0" fillId="4" borderId="4" xfId="0" applyFill="1" applyBorder="1" applyAlignment="1">
      <alignment horizontal="center" wrapText="1"/>
    </xf>
    <xf numFmtId="0" fontId="0" fillId="4" borderId="4" xfId="0" applyFill="1" applyBorder="1"/>
    <xf numFmtId="0" fontId="15" fillId="0" borderId="0" xfId="0" applyNumberFormat="1" applyFont="1" applyAlignment="1" applyProtection="1">
      <alignment horizontal="left" vertical="center" wrapText="1"/>
    </xf>
    <xf numFmtId="0" fontId="10" fillId="0" borderId="0" xfId="0" applyFont="1" applyAlignment="1" applyProtection="1">
      <alignment horizontal="left" vertical="center"/>
    </xf>
    <xf numFmtId="0" fontId="0" fillId="0" borderId="0" xfId="0" applyAlignment="1" applyProtection="1">
      <alignment horizontal="left" vertical="center"/>
    </xf>
    <xf numFmtId="0" fontId="7" fillId="0" borderId="61" xfId="0" applyFont="1" applyBorder="1" applyAlignment="1" applyProtection="1">
      <alignment vertical="distributed"/>
    </xf>
    <xf numFmtId="0" fontId="7" fillId="0" borderId="0" xfId="0" applyFont="1" applyAlignment="1">
      <alignment vertical="distributed"/>
    </xf>
    <xf numFmtId="0" fontId="7" fillId="0" borderId="61" xfId="0" applyFont="1" applyBorder="1" applyAlignment="1">
      <alignment vertical="distributed"/>
    </xf>
    <xf numFmtId="0" fontId="15" fillId="0" borderId="0" xfId="0" applyNumberFormat="1" applyFont="1" applyAlignment="1" applyProtection="1">
      <alignment vertical="center" wrapText="1"/>
    </xf>
    <xf numFmtId="0" fontId="15" fillId="0" borderId="0" xfId="0" applyFont="1" applyAlignment="1" applyProtection="1">
      <alignment vertical="center"/>
    </xf>
    <xf numFmtId="0" fontId="16" fillId="0" borderId="0" xfId="0" applyFont="1" applyAlignment="1" applyProtection="1">
      <alignment horizontal="left" vertical="center"/>
    </xf>
    <xf numFmtId="0" fontId="15" fillId="0" borderId="0" xfId="0" applyFont="1" applyAlignment="1" applyProtection="1">
      <alignment horizontal="left" vertical="center" wrapText="1"/>
    </xf>
    <xf numFmtId="0" fontId="15" fillId="0" borderId="0" xfId="0" applyFont="1" applyAlignment="1" applyProtection="1">
      <alignment vertical="center" wrapText="1"/>
    </xf>
    <xf numFmtId="9" fontId="20" fillId="4" borderId="4" xfId="1" applyFont="1" applyFill="1" applyBorder="1" applyAlignment="1" applyProtection="1">
      <alignment horizontal="center" vertical="center"/>
      <protection locked="0"/>
    </xf>
    <xf numFmtId="0" fontId="33" fillId="0" borderId="7" xfId="6" applyFont="1" applyBorder="1" applyAlignment="1">
      <alignment horizontal="left" vertical="center" wrapText="1"/>
    </xf>
    <xf numFmtId="0" fontId="33" fillId="0" borderId="31" xfId="6" applyFont="1" applyBorder="1" applyAlignment="1">
      <alignment horizontal="left" vertical="center" wrapText="1"/>
    </xf>
    <xf numFmtId="0" fontId="32" fillId="3" borderId="30" xfId="6" applyFont="1" applyFill="1" applyBorder="1" applyAlignment="1">
      <alignment horizontal="center" vertical="center" wrapText="1"/>
    </xf>
    <xf numFmtId="0" fontId="31" fillId="3" borderId="8" xfId="6" applyFont="1" applyFill="1" applyBorder="1" applyAlignment="1">
      <alignment vertical="center"/>
    </xf>
    <xf numFmtId="0" fontId="31" fillId="3" borderId="31" xfId="6" applyFont="1" applyFill="1" applyBorder="1" applyAlignment="1">
      <alignment vertical="center"/>
    </xf>
    <xf numFmtId="0" fontId="33" fillId="0" borderId="36" xfId="6" applyFont="1" applyBorder="1" applyAlignment="1">
      <alignment vertical="center" wrapText="1"/>
    </xf>
    <xf numFmtId="0" fontId="31" fillId="0" borderId="37" xfId="6" applyFont="1" applyBorder="1" applyAlignment="1">
      <alignment vertical="center"/>
    </xf>
    <xf numFmtId="0" fontId="31" fillId="0" borderId="0" xfId="6" applyFont="1" applyAlignment="1">
      <alignment horizontal="center" vertical="top"/>
    </xf>
    <xf numFmtId="0" fontId="31" fillId="0" borderId="0" xfId="6" applyFont="1" applyAlignment="1">
      <alignment horizontal="center"/>
    </xf>
    <xf numFmtId="0" fontId="31" fillId="0" borderId="7" xfId="6" applyFont="1" applyBorder="1" applyAlignment="1">
      <alignment vertical="center" wrapText="1"/>
    </xf>
    <xf numFmtId="0" fontId="31" fillId="0" borderId="31" xfId="6" applyFont="1" applyBorder="1" applyAlignment="1">
      <alignment vertical="center"/>
    </xf>
    <xf numFmtId="0" fontId="33" fillId="0" borderId="7" xfId="6" applyFont="1" applyBorder="1" applyAlignment="1">
      <alignment vertical="center" wrapText="1"/>
    </xf>
    <xf numFmtId="0" fontId="33" fillId="0" borderId="7" xfId="6" applyFont="1" applyFill="1" applyBorder="1" applyAlignment="1">
      <alignment vertical="center" wrapText="1"/>
    </xf>
    <xf numFmtId="0" fontId="31" fillId="0" borderId="31" xfId="6" applyFont="1" applyFill="1" applyBorder="1" applyAlignment="1">
      <alignment vertical="center"/>
    </xf>
    <xf numFmtId="0" fontId="33" fillId="0" borderId="7" xfId="5" applyFont="1" applyFill="1" applyBorder="1" applyAlignment="1">
      <alignment horizontal="left" vertical="center" wrapText="1"/>
    </xf>
    <xf numFmtId="0" fontId="33" fillId="0" borderId="31" xfId="5" applyFont="1" applyFill="1" applyBorder="1" applyAlignment="1">
      <alignment horizontal="left" vertical="center"/>
    </xf>
    <xf numFmtId="0" fontId="31" fillId="0" borderId="7" xfId="6" applyFont="1" applyFill="1" applyBorder="1" applyAlignment="1">
      <alignment horizontal="left" vertical="center"/>
    </xf>
    <xf numFmtId="0" fontId="31" fillId="0" borderId="31" xfId="6" applyFont="1" applyFill="1" applyBorder="1" applyAlignment="1">
      <alignment horizontal="left" vertical="center"/>
    </xf>
    <xf numFmtId="0" fontId="31" fillId="0" borderId="7" xfId="6" applyFont="1" applyFill="1" applyBorder="1" applyAlignment="1">
      <alignment vertical="center" wrapText="1"/>
    </xf>
    <xf numFmtId="0" fontId="33" fillId="0" borderId="7" xfId="6" applyFont="1" applyFill="1" applyBorder="1" applyAlignment="1">
      <alignment horizontal="left" vertical="center" wrapText="1"/>
    </xf>
    <xf numFmtId="0" fontId="33" fillId="0" borderId="31" xfId="6" applyFont="1" applyFill="1" applyBorder="1" applyAlignment="1">
      <alignment horizontal="left" vertical="center" wrapText="1"/>
    </xf>
    <xf numFmtId="0" fontId="31" fillId="0" borderId="31" xfId="6" applyFont="1" applyBorder="1" applyAlignment="1">
      <alignment horizontal="left" vertical="center"/>
    </xf>
    <xf numFmtId="0" fontId="30" fillId="0" borderId="58" xfId="6" applyFont="1" applyBorder="1" applyAlignment="1">
      <alignment horizontal="center" vertical="top"/>
    </xf>
    <xf numFmtId="0" fontId="30" fillId="0" borderId="59" xfId="6" applyFont="1" applyBorder="1" applyAlignment="1">
      <alignment horizontal="center" vertical="top"/>
    </xf>
    <xf numFmtId="0" fontId="30" fillId="0" borderId="60" xfId="6" applyFont="1" applyBorder="1" applyAlignment="1">
      <alignment horizontal="center" vertical="top"/>
    </xf>
    <xf numFmtId="0" fontId="32" fillId="0" borderId="28" xfId="6" applyFont="1" applyBorder="1" applyAlignment="1">
      <alignment horizontal="center" wrapText="1"/>
    </xf>
    <xf numFmtId="0" fontId="31" fillId="0" borderId="29" xfId="6" applyFont="1" applyBorder="1" applyAlignment="1"/>
    <xf numFmtId="0" fontId="15" fillId="0" borderId="0" xfId="0" applyFont="1" applyAlignment="1" applyProtection="1">
      <alignment horizontal="left" vertical="center" wrapText="1"/>
    </xf>
    <xf numFmtId="0" fontId="15" fillId="0" borderId="0" xfId="0" applyNumberFormat="1" applyFont="1" applyAlignment="1" applyProtection="1">
      <alignment horizontal="left" vertical="center" wrapText="1"/>
    </xf>
    <xf numFmtId="0" fontId="15" fillId="0" borderId="0" xfId="0" applyFont="1" applyAlignment="1" applyProtection="1">
      <alignment horizontal="left" vertical="center"/>
    </xf>
    <xf numFmtId="0" fontId="11" fillId="0" borderId="4" xfId="0" applyFont="1" applyFill="1" applyBorder="1" applyAlignment="1" applyProtection="1">
      <alignment horizontal="center" vertical="center" wrapText="1"/>
    </xf>
    <xf numFmtId="0" fontId="0" fillId="8" borderId="21" xfId="0" applyFill="1" applyBorder="1" applyAlignment="1" applyProtection="1">
      <alignment horizontal="center"/>
    </xf>
    <xf numFmtId="0" fontId="0" fillId="8" borderId="8" xfId="0" applyFill="1" applyBorder="1" applyAlignment="1" applyProtection="1">
      <alignment horizontal="center"/>
    </xf>
    <xf numFmtId="0" fontId="0" fillId="8" borderId="22" xfId="0" applyFill="1" applyBorder="1" applyAlignment="1" applyProtection="1">
      <alignment horizontal="center"/>
    </xf>
    <xf numFmtId="0" fontId="8" fillId="8" borderId="21" xfId="0" applyFont="1" applyFill="1" applyBorder="1" applyAlignment="1" applyProtection="1">
      <alignment horizontal="center" vertical="top" wrapText="1"/>
    </xf>
    <xf numFmtId="0" fontId="8" fillId="8" borderId="8" xfId="0" applyFont="1" applyFill="1" applyBorder="1" applyAlignment="1" applyProtection="1">
      <alignment horizontal="center" vertical="top" wrapText="1"/>
    </xf>
    <xf numFmtId="0" fontId="8" fillId="8" borderId="22" xfId="0" applyFont="1" applyFill="1" applyBorder="1" applyAlignment="1" applyProtection="1">
      <alignment horizontal="center" vertical="top" wrapText="1"/>
    </xf>
    <xf numFmtId="0" fontId="18" fillId="8" borderId="58" xfId="0" applyFont="1" applyFill="1" applyBorder="1" applyAlignment="1" applyProtection="1">
      <alignment horizontal="center"/>
    </xf>
    <xf numFmtId="0" fontId="18" fillId="8" borderId="59" xfId="0" applyFont="1" applyFill="1" applyBorder="1" applyAlignment="1" applyProtection="1">
      <alignment horizontal="center"/>
    </xf>
    <xf numFmtId="0" fontId="18" fillId="8" borderId="60" xfId="0" applyFont="1" applyFill="1" applyBorder="1" applyAlignment="1" applyProtection="1">
      <alignment horizontal="center"/>
    </xf>
    <xf numFmtId="0" fontId="0" fillId="0" borderId="4" xfId="0" applyBorder="1" applyAlignment="1" applyProtection="1">
      <alignment horizontal="center" vertical="center" wrapText="1"/>
    </xf>
    <xf numFmtId="0" fontId="10" fillId="0" borderId="4" xfId="0" applyFont="1" applyBorder="1" applyAlignment="1" applyProtection="1">
      <alignment horizontal="center" vertical="center" wrapText="1"/>
    </xf>
    <xf numFmtId="0" fontId="8" fillId="8" borderId="40" xfId="0" applyFont="1" applyFill="1" applyBorder="1" applyAlignment="1" applyProtection="1">
      <alignment horizontal="center" vertical="top"/>
    </xf>
    <xf numFmtId="0" fontId="8" fillId="8" borderId="41" xfId="0" applyFont="1" applyFill="1" applyBorder="1" applyAlignment="1" applyProtection="1">
      <alignment horizontal="center" vertical="top"/>
    </xf>
    <xf numFmtId="0" fontId="8" fillId="8" borderId="42" xfId="0" applyFont="1" applyFill="1" applyBorder="1" applyAlignment="1" applyProtection="1">
      <alignment horizontal="center" vertical="top"/>
    </xf>
    <xf numFmtId="0" fontId="0" fillId="8" borderId="57" xfId="0" applyFill="1" applyBorder="1" applyAlignment="1" applyProtection="1">
      <alignment horizontal="center" vertical="center"/>
    </xf>
    <xf numFmtId="0" fontId="0" fillId="8" borderId="52" xfId="0" applyFill="1" applyBorder="1" applyAlignment="1" applyProtection="1">
      <alignment horizontal="center" vertical="center"/>
    </xf>
    <xf numFmtId="0" fontId="11" fillId="8" borderId="51" xfId="0" applyFont="1" applyFill="1" applyBorder="1" applyAlignment="1" applyProtection="1">
      <alignment horizontal="center" vertical="center" wrapText="1"/>
    </xf>
    <xf numFmtId="0" fontId="11" fillId="8" borderId="53" xfId="0" applyFont="1" applyFill="1" applyBorder="1" applyAlignment="1" applyProtection="1">
      <alignment horizontal="center" vertical="center" wrapText="1"/>
    </xf>
    <xf numFmtId="0" fontId="8" fillId="0" borderId="0" xfId="0" applyFont="1" applyBorder="1" applyAlignment="1" applyProtection="1">
      <alignment horizontal="center" vertical="top"/>
    </xf>
    <xf numFmtId="0" fontId="9" fillId="2" borderId="40" xfId="0" applyFont="1" applyFill="1" applyBorder="1" applyAlignment="1" applyProtection="1">
      <alignment horizontal="center" vertical="center"/>
    </xf>
    <xf numFmtId="0" fontId="9" fillId="2" borderId="41" xfId="0" applyFont="1" applyFill="1" applyBorder="1" applyAlignment="1" applyProtection="1">
      <alignment horizontal="center" vertical="center"/>
    </xf>
    <xf numFmtId="0" fontId="9" fillId="2" borderId="42" xfId="0" applyFont="1" applyFill="1" applyBorder="1" applyAlignment="1" applyProtection="1">
      <alignment horizontal="center" vertical="center"/>
    </xf>
    <xf numFmtId="0" fontId="11" fillId="0" borderId="21" xfId="0" applyFont="1" applyBorder="1" applyAlignment="1" applyProtection="1">
      <alignment horizontal="center" vertical="center" wrapText="1"/>
    </xf>
    <xf numFmtId="0" fontId="11" fillId="0" borderId="8" xfId="0" applyFont="1" applyBorder="1" applyAlignment="1" applyProtection="1">
      <alignment horizontal="center" vertical="center" wrapText="1"/>
    </xf>
    <xf numFmtId="0" fontId="11" fillId="0" borderId="22" xfId="0" applyFont="1" applyBorder="1" applyAlignment="1" applyProtection="1">
      <alignment horizontal="center" vertical="center" wrapText="1"/>
    </xf>
    <xf numFmtId="0" fontId="34" fillId="6" borderId="43" xfId="0" applyFont="1" applyFill="1" applyBorder="1" applyAlignment="1" applyProtection="1">
      <alignment horizontal="center" vertical="center"/>
    </xf>
    <xf numFmtId="0" fontId="34" fillId="6" borderId="44" xfId="0" applyFont="1" applyFill="1" applyBorder="1" applyAlignment="1" applyProtection="1">
      <alignment horizontal="center" vertical="center"/>
    </xf>
    <xf numFmtId="0" fontId="34" fillId="6" borderId="45" xfId="0" applyFont="1" applyFill="1" applyBorder="1" applyAlignment="1" applyProtection="1">
      <alignment horizontal="center" vertical="center"/>
    </xf>
    <xf numFmtId="0" fontId="11" fillId="0" borderId="19" xfId="0" applyFont="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8" borderId="19" xfId="0" applyFont="1" applyFill="1" applyBorder="1" applyAlignment="1" applyProtection="1">
      <alignment horizontal="center" vertical="center"/>
    </xf>
    <xf numFmtId="0" fontId="11" fillId="8" borderId="4" xfId="0" applyFont="1" applyFill="1" applyBorder="1" applyAlignment="1" applyProtection="1">
      <alignment horizontal="center" vertical="center"/>
    </xf>
    <xf numFmtId="0" fontId="11" fillId="0" borderId="4" xfId="0" applyFont="1" applyFill="1" applyBorder="1" applyAlignment="1" applyProtection="1">
      <alignment horizontal="center" vertical="center"/>
    </xf>
    <xf numFmtId="0" fontId="11" fillId="0" borderId="7" xfId="0" applyFont="1" applyFill="1" applyBorder="1" applyAlignment="1" applyProtection="1">
      <alignment horizontal="center" vertical="center"/>
    </xf>
    <xf numFmtId="0" fontId="11" fillId="0" borderId="8" xfId="0" applyFont="1" applyFill="1" applyBorder="1" applyAlignment="1" applyProtection="1">
      <alignment horizontal="center" vertical="center"/>
    </xf>
    <xf numFmtId="0" fontId="11" fillId="0" borderId="9" xfId="0" applyFont="1" applyFill="1" applyBorder="1" applyAlignment="1" applyProtection="1">
      <alignment horizontal="center" vertical="center"/>
    </xf>
    <xf numFmtId="0" fontId="14" fillId="0" borderId="21"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0" fontId="11" fillId="7" borderId="46" xfId="0" applyFont="1" applyFill="1" applyBorder="1" applyAlignment="1" applyProtection="1">
      <alignment horizontal="center" vertical="center"/>
    </xf>
    <xf numFmtId="0" fontId="11" fillId="7" borderId="47" xfId="0" applyFont="1" applyFill="1" applyBorder="1" applyAlignment="1" applyProtection="1">
      <alignment horizontal="center" vertical="center"/>
    </xf>
    <xf numFmtId="0" fontId="11" fillId="7" borderId="48" xfId="0" applyFont="1" applyFill="1" applyBorder="1" applyAlignment="1" applyProtection="1">
      <alignment horizontal="center" vertical="center"/>
    </xf>
    <xf numFmtId="0" fontId="12" fillId="0" borderId="49" xfId="0" applyFont="1" applyBorder="1" applyAlignment="1" applyProtection="1">
      <alignment horizontal="center" vertical="center"/>
    </xf>
    <xf numFmtId="0" fontId="12" fillId="0" borderId="45" xfId="0" applyFont="1" applyBorder="1" applyAlignment="1" applyProtection="1">
      <alignment horizontal="center" vertical="center"/>
    </xf>
    <xf numFmtId="0" fontId="0" fillId="8" borderId="49" xfId="0" applyFill="1" applyBorder="1" applyAlignment="1" applyProtection="1">
      <alignment horizontal="center"/>
    </xf>
    <xf numFmtId="0" fontId="0" fillId="8" borderId="50" xfId="0" applyFill="1" applyBorder="1" applyAlignment="1" applyProtection="1">
      <alignment horizontal="center"/>
    </xf>
    <xf numFmtId="0" fontId="35" fillId="8" borderId="38" xfId="0" applyFont="1" applyFill="1" applyBorder="1" applyAlignment="1" applyProtection="1">
      <alignment horizontal="left" vertical="center" wrapText="1"/>
    </xf>
    <xf numFmtId="0" fontId="35" fillId="8" borderId="11" xfId="0" applyFont="1" applyFill="1" applyBorder="1" applyAlignment="1" applyProtection="1">
      <alignment horizontal="left" vertical="center" wrapText="1"/>
    </xf>
    <xf numFmtId="0" fontId="35" fillId="8" borderId="18" xfId="0" applyFont="1" applyFill="1" applyBorder="1" applyAlignment="1" applyProtection="1">
      <alignment horizontal="left" vertical="center" wrapText="1"/>
    </xf>
    <xf numFmtId="0" fontId="35" fillId="8" borderId="39" xfId="0" applyFont="1" applyFill="1" applyBorder="1" applyAlignment="1" applyProtection="1">
      <alignment horizontal="left" vertical="center" wrapText="1"/>
    </xf>
    <xf numFmtId="0" fontId="35" fillId="8" borderId="1" xfId="0" applyFont="1" applyFill="1" applyBorder="1" applyAlignment="1" applyProtection="1">
      <alignment horizontal="left" vertical="center" wrapText="1"/>
    </xf>
    <xf numFmtId="0" fontId="35" fillId="8" borderId="17" xfId="0" applyFont="1" applyFill="1" applyBorder="1" applyAlignment="1" applyProtection="1">
      <alignment horizontal="left" vertical="center" wrapText="1"/>
    </xf>
    <xf numFmtId="164" fontId="0" fillId="6" borderId="4" xfId="0" applyNumberFormat="1" applyFill="1" applyBorder="1" applyAlignment="1" applyProtection="1">
      <alignment horizontal="center" vertical="center"/>
    </xf>
    <xf numFmtId="0" fontId="25" fillId="8" borderId="7" xfId="0" applyFont="1" applyFill="1" applyBorder="1" applyAlignment="1" applyProtection="1">
      <alignment horizontal="center" vertical="center" wrapText="1"/>
    </xf>
    <xf numFmtId="0" fontId="25" fillId="8" borderId="8" xfId="0" applyFont="1" applyFill="1" applyBorder="1" applyAlignment="1" applyProtection="1">
      <alignment horizontal="center" vertical="center" wrapText="1"/>
    </xf>
    <xf numFmtId="0" fontId="25" fillId="8" borderId="22" xfId="0" applyFont="1" applyFill="1" applyBorder="1" applyAlignment="1" applyProtection="1">
      <alignment horizontal="center" vertical="center" wrapText="1"/>
    </xf>
    <xf numFmtId="0" fontId="14" fillId="0" borderId="19" xfId="0" applyFont="1" applyBorder="1" applyAlignment="1" applyProtection="1">
      <alignment horizontal="center" vertical="center" wrapText="1"/>
      <protection locked="0"/>
    </xf>
    <xf numFmtId="0" fontId="14" fillId="0" borderId="4" xfId="0" applyFont="1" applyBorder="1" applyAlignment="1" applyProtection="1">
      <alignment horizontal="center" vertical="center" wrapText="1"/>
      <protection locked="0"/>
    </xf>
    <xf numFmtId="0" fontId="14" fillId="0" borderId="7" xfId="0" applyFont="1" applyBorder="1" applyAlignment="1" applyProtection="1">
      <alignment horizontal="center" vertical="center" wrapText="1"/>
      <protection locked="0"/>
    </xf>
    <xf numFmtId="0" fontId="11" fillId="4" borderId="7" xfId="0" applyFont="1" applyFill="1" applyBorder="1" applyAlignment="1" applyProtection="1">
      <alignment horizontal="center" vertical="center" wrapText="1"/>
      <protection locked="0"/>
    </xf>
    <xf numFmtId="0" fontId="11" fillId="4" borderId="8" xfId="0" applyFont="1" applyFill="1" applyBorder="1" applyAlignment="1" applyProtection="1">
      <alignment horizontal="center" vertical="center" wrapText="1"/>
      <protection locked="0"/>
    </xf>
    <xf numFmtId="0" fontId="11" fillId="4" borderId="9" xfId="0" applyFont="1" applyFill="1" applyBorder="1" applyAlignment="1" applyProtection="1">
      <alignment horizontal="center" vertical="center" wrapText="1"/>
      <protection locked="0"/>
    </xf>
    <xf numFmtId="2" fontId="14" fillId="0" borderId="7" xfId="0" applyNumberFormat="1" applyFont="1" applyBorder="1" applyAlignment="1" applyProtection="1">
      <alignment horizontal="center" vertical="center" wrapText="1"/>
      <protection locked="0"/>
    </xf>
    <xf numFmtId="2" fontId="14" fillId="0" borderId="9" xfId="0" applyNumberFormat="1" applyFont="1" applyBorder="1" applyAlignment="1" applyProtection="1">
      <alignment horizontal="center" vertical="center" wrapText="1"/>
      <protection locked="0"/>
    </xf>
    <xf numFmtId="0" fontId="11" fillId="4" borderId="4" xfId="0" applyFont="1" applyFill="1" applyBorder="1" applyAlignment="1" applyProtection="1">
      <alignment horizontal="center" vertical="center" wrapText="1"/>
      <protection locked="0"/>
    </xf>
    <xf numFmtId="2" fontId="14" fillId="0" borderId="4" xfId="0" applyNumberFormat="1" applyFont="1" applyBorder="1" applyAlignment="1" applyProtection="1">
      <alignment horizontal="center" vertical="center" wrapText="1"/>
      <protection locked="0"/>
    </xf>
    <xf numFmtId="0" fontId="9" fillId="2" borderId="46" xfId="0" applyFont="1" applyFill="1" applyBorder="1" applyAlignment="1" applyProtection="1">
      <alignment horizontal="center"/>
    </xf>
    <xf numFmtId="0" fontId="9" fillId="2" borderId="47" xfId="0" applyFont="1" applyFill="1" applyBorder="1" applyAlignment="1" applyProtection="1">
      <alignment horizontal="center"/>
    </xf>
    <xf numFmtId="0" fontId="9" fillId="2" borderId="48" xfId="0" applyFont="1" applyFill="1" applyBorder="1" applyAlignment="1" applyProtection="1">
      <alignment horizontal="center"/>
    </xf>
    <xf numFmtId="0" fontId="14" fillId="0" borderId="49" xfId="0" applyFont="1" applyBorder="1" applyAlignment="1" applyProtection="1">
      <alignment horizontal="center" vertical="center" wrapText="1"/>
      <protection locked="0"/>
    </xf>
    <xf numFmtId="0" fontId="14" fillId="0" borderId="50" xfId="0" applyFont="1" applyBorder="1" applyAlignment="1" applyProtection="1">
      <alignment horizontal="center" vertical="center" wrapText="1"/>
      <protection locked="0"/>
    </xf>
    <xf numFmtId="167" fontId="14" fillId="0" borderId="4" xfId="0" applyNumberFormat="1" applyFont="1" applyBorder="1" applyAlignment="1" applyProtection="1">
      <alignment horizontal="center" vertical="center" wrapText="1"/>
      <protection locked="0"/>
    </xf>
    <xf numFmtId="0" fontId="29" fillId="0" borderId="19" xfId="0" applyFont="1" applyFill="1" applyBorder="1" applyAlignment="1" applyProtection="1">
      <alignment horizontal="center" vertical="center" wrapText="1"/>
    </xf>
    <xf numFmtId="0" fontId="29" fillId="0" borderId="4" xfId="0" applyFont="1" applyFill="1" applyBorder="1" applyAlignment="1" applyProtection="1">
      <alignment horizontal="center" vertical="center" wrapText="1"/>
    </xf>
    <xf numFmtId="0" fontId="11" fillId="0" borderId="19" xfId="0" applyFont="1" applyFill="1" applyBorder="1" applyAlignment="1" applyProtection="1">
      <alignment horizontal="center" vertical="center"/>
    </xf>
    <xf numFmtId="0" fontId="11" fillId="4" borderId="49" xfId="0" applyFont="1" applyFill="1" applyBorder="1" applyAlignment="1" applyProtection="1">
      <alignment horizontal="center" vertical="center" wrapText="1"/>
      <protection locked="0"/>
    </xf>
    <xf numFmtId="0" fontId="11" fillId="4" borderId="44" xfId="0" applyFont="1" applyFill="1" applyBorder="1" applyAlignment="1" applyProtection="1">
      <alignment horizontal="center" vertical="center" wrapText="1"/>
      <protection locked="0"/>
    </xf>
    <xf numFmtId="0" fontId="11" fillId="4" borderId="50"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xf>
    <xf numFmtId="0" fontId="0" fillId="3" borderId="4" xfId="0" applyFill="1" applyBorder="1" applyAlignment="1" applyProtection="1">
      <alignment horizontal="center" vertical="center" wrapText="1"/>
    </xf>
    <xf numFmtId="0" fontId="11" fillId="0" borderId="19" xfId="0" applyFont="1" applyFill="1" applyBorder="1" applyAlignment="1" applyProtection="1">
      <alignment vertical="top" wrapText="1"/>
    </xf>
    <xf numFmtId="0" fontId="11" fillId="0" borderId="4" xfId="0" applyFont="1" applyFill="1" applyBorder="1" applyAlignment="1" applyProtection="1">
      <alignment vertical="top" wrapText="1"/>
    </xf>
    <xf numFmtId="0" fontId="11" fillId="0" borderId="20" xfId="0" applyFont="1" applyFill="1" applyBorder="1" applyAlignment="1" applyProtection="1">
      <alignment vertical="top" wrapText="1"/>
    </xf>
    <xf numFmtId="0" fontId="0" fillId="4" borderId="4" xfId="0" applyFill="1" applyBorder="1" applyAlignment="1" applyProtection="1">
      <alignment horizontal="center" vertical="center"/>
      <protection locked="0"/>
    </xf>
    <xf numFmtId="0" fontId="9" fillId="2" borderId="19" xfId="0" applyFont="1" applyFill="1" applyBorder="1" applyAlignment="1" applyProtection="1">
      <alignment horizontal="center"/>
    </xf>
    <xf numFmtId="0" fontId="9" fillId="2" borderId="4" xfId="0" applyFont="1" applyFill="1" applyBorder="1" applyAlignment="1" applyProtection="1">
      <alignment horizontal="center"/>
    </xf>
    <xf numFmtId="0" fontId="9" fillId="2" borderId="20" xfId="0" applyFont="1" applyFill="1" applyBorder="1" applyAlignment="1" applyProtection="1">
      <alignment horizontal="center"/>
    </xf>
    <xf numFmtId="0" fontId="14" fillId="0" borderId="43" xfId="0" applyFont="1" applyBorder="1" applyAlignment="1" applyProtection="1">
      <alignment horizontal="center" vertical="center" wrapText="1"/>
      <protection locked="0"/>
    </xf>
    <xf numFmtId="0" fontId="14" fillId="0" borderId="44" xfId="0" applyFont="1" applyBorder="1" applyAlignment="1" applyProtection="1">
      <alignment horizontal="center" vertical="center" wrapText="1"/>
      <protection locked="0"/>
    </xf>
    <xf numFmtId="0" fontId="11" fillId="0" borderId="21" xfId="0" applyFont="1" applyFill="1" applyBorder="1" applyAlignment="1" applyProtection="1">
      <alignment horizontal="left" vertical="center" wrapText="1"/>
    </xf>
    <xf numFmtId="0" fontId="11" fillId="0" borderId="8" xfId="0" applyFont="1" applyFill="1" applyBorder="1" applyAlignment="1" applyProtection="1">
      <alignment horizontal="left" vertical="center" wrapText="1"/>
    </xf>
    <xf numFmtId="0" fontId="11" fillId="0" borderId="22" xfId="0" applyFont="1" applyFill="1" applyBorder="1" applyAlignment="1" applyProtection="1">
      <alignment horizontal="left" vertical="center" wrapText="1"/>
    </xf>
    <xf numFmtId="0" fontId="11" fillId="8" borderId="10" xfId="0" applyFont="1" applyFill="1" applyBorder="1" applyAlignment="1" applyProtection="1">
      <alignment horizontal="center" vertical="top" wrapText="1"/>
    </xf>
    <xf numFmtId="0" fontId="11" fillId="8" borderId="11" xfId="0" applyFont="1" applyFill="1" applyBorder="1" applyAlignment="1" applyProtection="1">
      <alignment horizontal="center" vertical="top" wrapText="1"/>
    </xf>
    <xf numFmtId="0" fontId="11" fillId="8" borderId="18" xfId="0" applyFont="1" applyFill="1" applyBorder="1" applyAlignment="1" applyProtection="1">
      <alignment horizontal="center" vertical="top" wrapText="1"/>
    </xf>
    <xf numFmtId="0" fontId="11" fillId="8" borderId="6" xfId="0" applyFont="1" applyFill="1" applyBorder="1" applyAlignment="1" applyProtection="1">
      <alignment horizontal="center" vertical="top" wrapText="1"/>
    </xf>
    <xf numFmtId="0" fontId="11" fillId="8" borderId="0" xfId="0" applyFont="1" applyFill="1" applyBorder="1" applyAlignment="1" applyProtection="1">
      <alignment horizontal="center" vertical="top" wrapText="1"/>
    </xf>
    <xf numFmtId="0" fontId="11" fillId="8" borderId="16" xfId="0" applyFont="1" applyFill="1" applyBorder="1" applyAlignment="1" applyProtection="1">
      <alignment horizontal="center" vertical="top" wrapText="1"/>
    </xf>
    <xf numFmtId="0" fontId="11" fillId="8" borderId="3" xfId="0" applyFont="1" applyFill="1" applyBorder="1" applyAlignment="1" applyProtection="1">
      <alignment horizontal="center" vertical="top" wrapText="1"/>
    </xf>
    <xf numFmtId="0" fontId="11" fillId="8" borderId="1" xfId="0" applyFont="1" applyFill="1" applyBorder="1" applyAlignment="1" applyProtection="1">
      <alignment horizontal="center" vertical="top" wrapText="1"/>
    </xf>
    <xf numFmtId="0" fontId="11" fillId="8" borderId="17" xfId="0" applyFont="1" applyFill="1" applyBorder="1" applyAlignment="1" applyProtection="1">
      <alignment horizontal="center" vertical="top" wrapText="1"/>
    </xf>
    <xf numFmtId="0" fontId="11" fillId="8" borderId="21" xfId="0" applyFont="1" applyFill="1" applyBorder="1" applyAlignment="1" applyProtection="1">
      <alignment horizontal="center" vertical="center" wrapText="1"/>
    </xf>
    <xf numFmtId="0" fontId="11" fillId="8" borderId="8" xfId="0" applyFont="1" applyFill="1" applyBorder="1" applyAlignment="1" applyProtection="1">
      <alignment horizontal="center" vertical="center" wrapText="1"/>
    </xf>
    <xf numFmtId="0" fontId="11" fillId="8" borderId="9" xfId="0" applyFont="1" applyFill="1" applyBorder="1" applyAlignment="1" applyProtection="1">
      <alignment horizontal="center" vertical="center" wrapText="1"/>
    </xf>
    <xf numFmtId="0" fontId="8" fillId="0" borderId="26" xfId="0" applyFont="1" applyBorder="1" applyAlignment="1" applyProtection="1">
      <alignment horizontal="left" vertical="center" wrapText="1"/>
    </xf>
    <xf numFmtId="0" fontId="8" fillId="0" borderId="24" xfId="0" applyFont="1" applyBorder="1" applyAlignment="1" applyProtection="1">
      <alignment horizontal="left" vertical="center" wrapText="1"/>
    </xf>
    <xf numFmtId="0" fontId="8" fillId="0" borderId="25" xfId="0" applyFont="1" applyBorder="1" applyAlignment="1" applyProtection="1">
      <alignment horizontal="left" vertical="center" wrapText="1"/>
    </xf>
    <xf numFmtId="0" fontId="6" fillId="0" borderId="13" xfId="0" applyFont="1" applyBorder="1" applyAlignment="1" applyProtection="1">
      <alignment horizontal="center"/>
    </xf>
    <xf numFmtId="0" fontId="6" fillId="0" borderId="14" xfId="0" applyFont="1" applyBorder="1" applyAlignment="1" applyProtection="1">
      <alignment horizontal="center"/>
    </xf>
    <xf numFmtId="0" fontId="6" fillId="0" borderId="15" xfId="0" applyFont="1" applyBorder="1" applyAlignment="1" applyProtection="1">
      <alignment horizontal="center"/>
    </xf>
    <xf numFmtId="0" fontId="14" fillId="4" borderId="4" xfId="0" applyFont="1" applyFill="1" applyBorder="1" applyAlignment="1" applyProtection="1">
      <alignment horizontal="center" vertical="center"/>
      <protection locked="0"/>
    </xf>
    <xf numFmtId="0" fontId="14" fillId="4" borderId="4" xfId="0" applyFont="1" applyFill="1" applyBorder="1" applyAlignment="1" applyProtection="1">
      <alignment horizontal="center" vertical="center" wrapText="1"/>
      <protection locked="0"/>
    </xf>
    <xf numFmtId="0" fontId="14" fillId="0" borderId="20" xfId="0" applyFont="1" applyBorder="1" applyAlignment="1" applyProtection="1">
      <alignment horizontal="center" vertical="center" wrapText="1"/>
      <protection locked="0"/>
    </xf>
    <xf numFmtId="0" fontId="6" fillId="0" borderId="19" xfId="0" applyFont="1" applyBorder="1" applyAlignment="1" applyProtection="1">
      <alignment horizontal="center"/>
    </xf>
    <xf numFmtId="0" fontId="6" fillId="0" borderId="4" xfId="0" applyFont="1" applyBorder="1" applyAlignment="1" applyProtection="1">
      <alignment horizontal="center"/>
    </xf>
    <xf numFmtId="0" fontId="6" fillId="0" borderId="20" xfId="0" applyFont="1" applyBorder="1" applyAlignment="1" applyProtection="1">
      <alignment horizontal="center"/>
    </xf>
    <xf numFmtId="0" fontId="9" fillId="2" borderId="19" xfId="0" applyFont="1" applyFill="1" applyBorder="1" applyAlignment="1" applyProtection="1">
      <alignment horizontal="center" vertical="center"/>
    </xf>
    <xf numFmtId="0" fontId="9" fillId="2" borderId="4" xfId="0" applyFont="1" applyFill="1" applyBorder="1" applyAlignment="1" applyProtection="1">
      <alignment horizontal="center" vertical="center"/>
    </xf>
    <xf numFmtId="0" fontId="9" fillId="2" borderId="20" xfId="0" applyFont="1" applyFill="1" applyBorder="1" applyAlignment="1" applyProtection="1">
      <alignment horizontal="center" vertical="center"/>
    </xf>
    <xf numFmtId="0" fontId="11" fillId="0" borderId="19" xfId="0" applyFont="1" applyBorder="1" applyAlignment="1" applyProtection="1">
      <alignment horizontal="left" vertical="top" wrapText="1"/>
    </xf>
    <xf numFmtId="0" fontId="11" fillId="0" borderId="4" xfId="0" applyFont="1" applyBorder="1" applyAlignment="1" applyProtection="1">
      <alignment horizontal="left" vertical="top" wrapText="1"/>
    </xf>
    <xf numFmtId="0" fontId="11" fillId="0" borderId="20" xfId="0" applyFont="1" applyBorder="1" applyAlignment="1" applyProtection="1">
      <alignment horizontal="left" vertical="top" wrapText="1"/>
    </xf>
    <xf numFmtId="0" fontId="11" fillId="0" borderId="21" xfId="0" applyFont="1" applyBorder="1" applyAlignment="1" applyProtection="1">
      <alignment horizontal="center" vertical="top" wrapText="1"/>
      <protection locked="0"/>
    </xf>
    <xf numFmtId="0" fontId="11" fillId="0" borderId="8" xfId="0" applyFont="1" applyBorder="1" applyAlignment="1" applyProtection="1">
      <alignment horizontal="center" vertical="top" wrapText="1"/>
      <protection locked="0"/>
    </xf>
    <xf numFmtId="0" fontId="11" fillId="0" borderId="22" xfId="0" applyFont="1" applyBorder="1" applyAlignment="1" applyProtection="1">
      <alignment horizontal="center" vertical="top" wrapText="1"/>
      <protection locked="0"/>
    </xf>
    <xf numFmtId="2" fontId="14" fillId="6" borderId="4" xfId="0" applyNumberFormat="1" applyFont="1" applyFill="1" applyBorder="1" applyAlignment="1" applyProtection="1">
      <alignment horizontal="center" vertical="center" wrapText="1"/>
    </xf>
    <xf numFmtId="2" fontId="14" fillId="6" borderId="20" xfId="0" applyNumberFormat="1" applyFont="1" applyFill="1" applyBorder="1" applyAlignment="1" applyProtection="1">
      <alignment horizontal="center" vertical="center" wrapText="1"/>
    </xf>
    <xf numFmtId="2" fontId="0" fillId="0" borderId="4" xfId="0" applyNumberFormat="1" applyBorder="1" applyAlignment="1" applyProtection="1">
      <alignment horizontal="center" wrapText="1"/>
    </xf>
    <xf numFmtId="2" fontId="0" fillId="0" borderId="20" xfId="0" applyNumberFormat="1" applyBorder="1" applyAlignment="1" applyProtection="1">
      <alignment horizontal="center" wrapText="1"/>
    </xf>
    <xf numFmtId="167" fontId="22" fillId="5" borderId="4" xfId="3" applyNumberFormat="1" applyFont="1" applyFill="1" applyBorder="1" applyAlignment="1" applyProtection="1">
      <alignment horizontal="center" vertical="center" wrapText="1"/>
    </xf>
    <xf numFmtId="0" fontId="22" fillId="0" borderId="24" xfId="0" applyFont="1" applyFill="1" applyBorder="1" applyAlignment="1" applyProtection="1">
      <alignment horizontal="center" vertical="center"/>
      <protection locked="0"/>
    </xf>
    <xf numFmtId="0" fontId="11" fillId="0" borderId="20" xfId="0" applyFont="1" applyBorder="1" applyAlignment="1" applyProtection="1">
      <alignment horizontal="center" vertical="center" wrapText="1"/>
    </xf>
    <xf numFmtId="0" fontId="6" fillId="0" borderId="54" xfId="0" applyFont="1" applyFill="1" applyBorder="1" applyAlignment="1" applyProtection="1">
      <alignment horizontal="left" vertical="top"/>
    </xf>
    <xf numFmtId="0" fontId="6" fillId="0" borderId="55" xfId="0" applyFont="1" applyFill="1" applyBorder="1" applyAlignment="1" applyProtection="1">
      <alignment horizontal="left" vertical="top"/>
    </xf>
    <xf numFmtId="0" fontId="6" fillId="0" borderId="56" xfId="0" applyFont="1" applyFill="1" applyBorder="1" applyAlignment="1" applyProtection="1">
      <alignment horizontal="left" vertical="top"/>
    </xf>
    <xf numFmtId="0" fontId="6" fillId="2" borderId="21" xfId="0" applyFont="1" applyFill="1" applyBorder="1" applyAlignment="1" applyProtection="1">
      <alignment horizontal="center"/>
    </xf>
    <xf numFmtId="0" fontId="6" fillId="2" borderId="8" xfId="0" applyFont="1" applyFill="1" applyBorder="1" applyAlignment="1" applyProtection="1">
      <alignment horizontal="center"/>
    </xf>
    <xf numFmtId="0" fontId="6" fillId="2" borderId="22" xfId="0" applyFont="1" applyFill="1" applyBorder="1" applyAlignment="1" applyProtection="1">
      <alignment horizontal="center"/>
    </xf>
    <xf numFmtId="0" fontId="21" fillId="0" borderId="23" xfId="0" applyFont="1" applyBorder="1" applyAlignment="1" applyProtection="1">
      <alignment horizontal="left" vertical="center"/>
      <protection locked="0"/>
    </xf>
    <xf numFmtId="0" fontId="21" fillId="0" borderId="24" xfId="0" applyFont="1" applyBorder="1" applyAlignment="1" applyProtection="1">
      <alignment horizontal="left" vertical="center"/>
      <protection locked="0"/>
    </xf>
    <xf numFmtId="0" fontId="14" fillId="0" borderId="24" xfId="0" applyFont="1" applyFill="1" applyBorder="1" applyAlignment="1" applyProtection="1">
      <alignment horizontal="center" vertical="center" wrapText="1"/>
      <protection locked="0"/>
    </xf>
    <xf numFmtId="0" fontId="23" fillId="0" borderId="24" xfId="0" applyFont="1" applyFill="1" applyBorder="1" applyAlignment="1" applyProtection="1">
      <alignment vertical="center"/>
      <protection locked="0"/>
    </xf>
    <xf numFmtId="0" fontId="23" fillId="0" borderId="25" xfId="0" applyFont="1" applyFill="1" applyBorder="1" applyAlignment="1" applyProtection="1">
      <alignment vertical="center"/>
      <protection locked="0"/>
    </xf>
    <xf numFmtId="0" fontId="12" fillId="0" borderId="24" xfId="0" applyFont="1" applyBorder="1" applyAlignment="1" applyProtection="1">
      <alignment horizontal="center" vertical="center"/>
    </xf>
    <xf numFmtId="0" fontId="11" fillId="0" borderId="52" xfId="0" applyFont="1" applyBorder="1" applyAlignment="1" applyProtection="1">
      <alignment horizontal="center" vertical="center" wrapText="1"/>
    </xf>
    <xf numFmtId="0" fontId="11" fillId="0" borderId="53" xfId="0" applyFont="1" applyBorder="1" applyAlignment="1" applyProtection="1">
      <alignment horizontal="center" vertical="center" wrapText="1"/>
    </xf>
    <xf numFmtId="0" fontId="21" fillId="0" borderId="21"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11" fillId="0" borderId="53" xfId="0" applyFont="1" applyFill="1" applyBorder="1" applyAlignment="1" applyProtection="1">
      <alignment horizontal="center" vertical="center"/>
    </xf>
    <xf numFmtId="0" fontId="0" fillId="3" borderId="7" xfId="0" applyFill="1" applyBorder="1" applyAlignment="1" applyProtection="1">
      <alignment horizontal="center" vertical="center"/>
    </xf>
    <xf numFmtId="0" fontId="0" fillId="3" borderId="8" xfId="0" applyFill="1" applyBorder="1" applyAlignment="1" applyProtection="1">
      <alignment horizontal="center" vertical="center"/>
    </xf>
    <xf numFmtId="0" fontId="0" fillId="3" borderId="9" xfId="0" applyFill="1" applyBorder="1" applyAlignment="1" applyProtection="1">
      <alignment horizontal="center" vertical="center"/>
    </xf>
    <xf numFmtId="0" fontId="0" fillId="8" borderId="10" xfId="0" applyFill="1" applyBorder="1" applyAlignment="1" applyProtection="1">
      <alignment horizontal="center" vertical="center"/>
    </xf>
    <xf numFmtId="0" fontId="0" fillId="8" borderId="12" xfId="0" applyFill="1" applyBorder="1" applyAlignment="1" applyProtection="1">
      <alignment horizontal="center" vertical="center"/>
    </xf>
    <xf numFmtId="0" fontId="0" fillId="8" borderId="6" xfId="0" applyFill="1" applyBorder="1" applyAlignment="1" applyProtection="1">
      <alignment horizontal="center" vertical="center"/>
    </xf>
    <xf numFmtId="0" fontId="0" fillId="8" borderId="5" xfId="0" applyFill="1" applyBorder="1" applyAlignment="1" applyProtection="1">
      <alignment horizontal="center" vertical="center"/>
    </xf>
    <xf numFmtId="0" fontId="0" fillId="8" borderId="3" xfId="0" applyFill="1" applyBorder="1" applyAlignment="1" applyProtection="1">
      <alignment horizontal="center" vertical="center"/>
    </xf>
    <xf numFmtId="0" fontId="0" fillId="8" borderId="2" xfId="0" applyFill="1" applyBorder="1" applyAlignment="1" applyProtection="1">
      <alignment horizontal="center" vertical="center"/>
    </xf>
    <xf numFmtId="0" fontId="0" fillId="3" borderId="21" xfId="0" applyFill="1" applyBorder="1" applyAlignment="1" applyProtection="1">
      <alignment horizontal="center" vertical="center"/>
    </xf>
  </cellXfs>
  <cellStyles count="7">
    <cellStyle name="Comma" xfId="3" builtinId="3"/>
    <cellStyle name="Hyperlink" xfId="5" builtinId="8"/>
    <cellStyle name="Normal" xfId="0" builtinId="0"/>
    <cellStyle name="Normal 2" xfId="2"/>
    <cellStyle name="Normal 3" xfId="4"/>
    <cellStyle name="Normal 4" xfId="6"/>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47625</xdr:colOff>
      <xdr:row>40</xdr:row>
      <xdr:rowOff>209550</xdr:rowOff>
    </xdr:from>
    <xdr:to>
      <xdr:col>5</xdr:col>
      <xdr:colOff>523875</xdr:colOff>
      <xdr:row>40</xdr:row>
      <xdr:rowOff>209550</xdr:rowOff>
    </xdr:to>
    <xdr:sp macro="" textlink="">
      <xdr:nvSpPr>
        <xdr:cNvPr id="3" name="Line 1"/>
        <xdr:cNvSpPr>
          <a:spLocks noChangeShapeType="1"/>
        </xdr:cNvSpPr>
      </xdr:nvSpPr>
      <xdr:spPr bwMode="auto">
        <a:xfrm>
          <a:off x="2333625" y="11801475"/>
          <a:ext cx="476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733425</xdr:colOff>
      <xdr:row>40</xdr:row>
      <xdr:rowOff>200024</xdr:rowOff>
    </xdr:from>
    <xdr:to>
      <xdr:col>12</xdr:col>
      <xdr:colOff>895350</xdr:colOff>
      <xdr:row>40</xdr:row>
      <xdr:rowOff>209549</xdr:rowOff>
    </xdr:to>
    <xdr:sp macro="" textlink="">
      <xdr:nvSpPr>
        <xdr:cNvPr id="4" name="Line 1"/>
        <xdr:cNvSpPr>
          <a:spLocks noChangeShapeType="1"/>
        </xdr:cNvSpPr>
      </xdr:nvSpPr>
      <xdr:spPr bwMode="auto">
        <a:xfrm flipV="1">
          <a:off x="6429375" y="11791949"/>
          <a:ext cx="1123950"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tabSelected="1" workbookViewId="0">
      <selection activeCell="B15" sqref="B15:C15"/>
    </sheetView>
  </sheetViews>
  <sheetFormatPr defaultRowHeight="15.75" x14ac:dyDescent="0.25"/>
  <cols>
    <col min="1" max="1" width="6.7109375" style="69" customWidth="1"/>
    <col min="2" max="2" width="80.5703125" style="70" customWidth="1"/>
    <col min="3" max="3" width="10.85546875" style="57" customWidth="1"/>
    <col min="4" max="16384" width="9.140625" style="57"/>
  </cols>
  <sheetData>
    <row r="1" spans="1:3" ht="21.75" thickBot="1" x14ac:dyDescent="0.3">
      <c r="A1" s="137" t="s">
        <v>136</v>
      </c>
      <c r="B1" s="138"/>
      <c r="C1" s="139"/>
    </row>
    <row r="2" spans="1:3" ht="16.5" thickBot="1" x14ac:dyDescent="0.3">
      <c r="A2" s="58"/>
      <c r="B2" s="59"/>
      <c r="C2" s="60"/>
    </row>
    <row r="3" spans="1:3" ht="16.5" thickTop="1" x14ac:dyDescent="0.25">
      <c r="A3" s="61" t="s">
        <v>137</v>
      </c>
      <c r="B3" s="140" t="s">
        <v>138</v>
      </c>
      <c r="C3" s="141"/>
    </row>
    <row r="4" spans="1:3" x14ac:dyDescent="0.25">
      <c r="A4" s="117" t="s">
        <v>3</v>
      </c>
      <c r="B4" s="118"/>
      <c r="C4" s="119"/>
    </row>
    <row r="5" spans="1:3" x14ac:dyDescent="0.25">
      <c r="A5" s="62" t="s">
        <v>139</v>
      </c>
      <c r="B5" s="124" t="s">
        <v>140</v>
      </c>
      <c r="C5" s="125"/>
    </row>
    <row r="6" spans="1:3" x14ac:dyDescent="0.25">
      <c r="A6" s="62">
        <v>1</v>
      </c>
      <c r="B6" s="124" t="s">
        <v>141</v>
      </c>
      <c r="C6" s="125"/>
    </row>
    <row r="7" spans="1:3" x14ac:dyDescent="0.25">
      <c r="A7" s="62">
        <v>2</v>
      </c>
      <c r="B7" s="126" t="s">
        <v>142</v>
      </c>
      <c r="C7" s="125"/>
    </row>
    <row r="8" spans="1:3" x14ac:dyDescent="0.25">
      <c r="A8" s="62" t="s">
        <v>143</v>
      </c>
      <c r="B8" s="126" t="s">
        <v>198</v>
      </c>
      <c r="C8" s="125"/>
    </row>
    <row r="9" spans="1:3" x14ac:dyDescent="0.25">
      <c r="A9" s="62" t="s">
        <v>144</v>
      </c>
      <c r="B9" s="124" t="s">
        <v>145</v>
      </c>
      <c r="C9" s="125"/>
    </row>
    <row r="10" spans="1:3" x14ac:dyDescent="0.25">
      <c r="A10" s="62" t="s">
        <v>146</v>
      </c>
      <c r="B10" s="126" t="s">
        <v>147</v>
      </c>
      <c r="C10" s="125"/>
    </row>
    <row r="11" spans="1:3" x14ac:dyDescent="0.25">
      <c r="A11" s="62" t="s">
        <v>148</v>
      </c>
      <c r="B11" s="124" t="s">
        <v>149</v>
      </c>
      <c r="C11" s="125"/>
    </row>
    <row r="12" spans="1:3" x14ac:dyDescent="0.25">
      <c r="A12" s="62" t="s">
        <v>150</v>
      </c>
      <c r="B12" s="126" t="s">
        <v>151</v>
      </c>
      <c r="C12" s="125"/>
    </row>
    <row r="13" spans="1:3" x14ac:dyDescent="0.25">
      <c r="A13" s="62" t="s">
        <v>152</v>
      </c>
      <c r="B13" s="126" t="s">
        <v>153</v>
      </c>
      <c r="C13" s="125"/>
    </row>
    <row r="14" spans="1:3" x14ac:dyDescent="0.25">
      <c r="A14" s="117" t="s">
        <v>1</v>
      </c>
      <c r="B14" s="118"/>
      <c r="C14" s="119"/>
    </row>
    <row r="15" spans="1:3" x14ac:dyDescent="0.25">
      <c r="A15" s="62" t="s">
        <v>154</v>
      </c>
      <c r="B15" s="124" t="s">
        <v>155</v>
      </c>
      <c r="C15" s="125"/>
    </row>
    <row r="16" spans="1:3" ht="33" customHeight="1" x14ac:dyDescent="0.25">
      <c r="A16" s="62" t="s">
        <v>156</v>
      </c>
      <c r="B16" s="115" t="s">
        <v>201</v>
      </c>
      <c r="C16" s="136"/>
    </row>
    <row r="17" spans="1:3" x14ac:dyDescent="0.25">
      <c r="A17" s="62" t="s">
        <v>157</v>
      </c>
      <c r="B17" s="126" t="s">
        <v>158</v>
      </c>
      <c r="C17" s="125"/>
    </row>
    <row r="18" spans="1:3" x14ac:dyDescent="0.25">
      <c r="A18" s="62">
        <v>6</v>
      </c>
      <c r="B18" s="126" t="s">
        <v>202</v>
      </c>
      <c r="C18" s="125"/>
    </row>
    <row r="19" spans="1:3" ht="33" customHeight="1" x14ac:dyDescent="0.25">
      <c r="A19" s="62">
        <v>7</v>
      </c>
      <c r="B19" s="126" t="s">
        <v>160</v>
      </c>
      <c r="C19" s="125"/>
    </row>
    <row r="20" spans="1:3" x14ac:dyDescent="0.25">
      <c r="A20" s="117" t="s">
        <v>2</v>
      </c>
      <c r="B20" s="118"/>
      <c r="C20" s="119"/>
    </row>
    <row r="21" spans="1:3" s="64" customFormat="1" x14ac:dyDescent="0.25">
      <c r="A21" s="63" t="s">
        <v>161</v>
      </c>
      <c r="B21" s="131" t="s">
        <v>155</v>
      </c>
      <c r="C21" s="132"/>
    </row>
    <row r="22" spans="1:3" s="64" customFormat="1" x14ac:dyDescent="0.25">
      <c r="A22" s="63" t="s">
        <v>162</v>
      </c>
      <c r="B22" s="131" t="s">
        <v>203</v>
      </c>
      <c r="C22" s="132"/>
    </row>
    <row r="23" spans="1:3" x14ac:dyDescent="0.25">
      <c r="A23" s="65" t="s">
        <v>163</v>
      </c>
      <c r="B23" s="127" t="s">
        <v>164</v>
      </c>
      <c r="C23" s="128"/>
    </row>
    <row r="24" spans="1:3" x14ac:dyDescent="0.25">
      <c r="A24" s="62">
        <v>9</v>
      </c>
      <c r="B24" s="133" t="s">
        <v>159</v>
      </c>
      <c r="C24" s="128"/>
    </row>
    <row r="25" spans="1:3" x14ac:dyDescent="0.25">
      <c r="A25" s="62">
        <v>10</v>
      </c>
      <c r="B25" s="134" t="s">
        <v>165</v>
      </c>
      <c r="C25" s="135"/>
    </row>
    <row r="26" spans="1:3" x14ac:dyDescent="0.25">
      <c r="A26" s="62">
        <v>11</v>
      </c>
      <c r="B26" s="134" t="s">
        <v>166</v>
      </c>
      <c r="C26" s="135"/>
    </row>
    <row r="27" spans="1:3" ht="49.5" customHeight="1" x14ac:dyDescent="0.25">
      <c r="A27" s="62">
        <v>12</v>
      </c>
      <c r="B27" s="134" t="s">
        <v>167</v>
      </c>
      <c r="C27" s="132"/>
    </row>
    <row r="28" spans="1:3" ht="96.75" customHeight="1" x14ac:dyDescent="0.25">
      <c r="A28" s="65" t="s">
        <v>168</v>
      </c>
      <c r="B28" s="115" t="s">
        <v>219</v>
      </c>
      <c r="C28" s="136"/>
    </row>
    <row r="29" spans="1:3" x14ac:dyDescent="0.25">
      <c r="A29" s="62" t="s">
        <v>169</v>
      </c>
      <c r="B29" s="126" t="s">
        <v>170</v>
      </c>
      <c r="C29" s="125"/>
    </row>
    <row r="30" spans="1:3" x14ac:dyDescent="0.25">
      <c r="A30" s="117" t="s">
        <v>182</v>
      </c>
      <c r="B30" s="118"/>
      <c r="C30" s="119"/>
    </row>
    <row r="31" spans="1:3" x14ac:dyDescent="0.25">
      <c r="A31" s="66">
        <v>14</v>
      </c>
      <c r="B31" s="124" t="s">
        <v>204</v>
      </c>
      <c r="C31" s="125"/>
    </row>
    <row r="32" spans="1:3" x14ac:dyDescent="0.25">
      <c r="A32" s="66">
        <v>15</v>
      </c>
      <c r="B32" s="124" t="s">
        <v>205</v>
      </c>
      <c r="C32" s="125"/>
    </row>
    <row r="33" spans="1:3" x14ac:dyDescent="0.25">
      <c r="A33" s="66">
        <v>16</v>
      </c>
      <c r="B33" s="124" t="s">
        <v>173</v>
      </c>
      <c r="C33" s="125"/>
    </row>
    <row r="34" spans="1:3" x14ac:dyDescent="0.25">
      <c r="A34" s="66">
        <v>17</v>
      </c>
      <c r="B34" s="126" t="s">
        <v>174</v>
      </c>
      <c r="C34" s="125"/>
    </row>
    <row r="35" spans="1:3" x14ac:dyDescent="0.25">
      <c r="A35" s="66">
        <v>18</v>
      </c>
      <c r="B35" s="127" t="s">
        <v>175</v>
      </c>
      <c r="C35" s="128"/>
    </row>
    <row r="36" spans="1:3" ht="55.5" customHeight="1" x14ac:dyDescent="0.25">
      <c r="A36" s="66">
        <v>19</v>
      </c>
      <c r="B36" s="129" t="s">
        <v>206</v>
      </c>
      <c r="C36" s="130"/>
    </row>
    <row r="37" spans="1:3" ht="14.25" customHeight="1" x14ac:dyDescent="0.25">
      <c r="A37" s="66">
        <v>20</v>
      </c>
      <c r="B37" s="127" t="s">
        <v>177</v>
      </c>
      <c r="C37" s="128"/>
    </row>
    <row r="38" spans="1:3" x14ac:dyDescent="0.25">
      <c r="A38" s="66">
        <v>21</v>
      </c>
      <c r="B38" s="115" t="s">
        <v>178</v>
      </c>
      <c r="C38" s="116"/>
    </row>
    <row r="39" spans="1:3" x14ac:dyDescent="0.25">
      <c r="A39" s="66">
        <v>22</v>
      </c>
      <c r="B39" s="115" t="s">
        <v>179</v>
      </c>
      <c r="C39" s="116"/>
    </row>
    <row r="40" spans="1:3" x14ac:dyDescent="0.25">
      <c r="A40" s="66">
        <v>23</v>
      </c>
      <c r="B40" s="115" t="s">
        <v>199</v>
      </c>
      <c r="C40" s="116"/>
    </row>
    <row r="41" spans="1:3" x14ac:dyDescent="0.25">
      <c r="A41" s="117" t="s">
        <v>13</v>
      </c>
      <c r="B41" s="118"/>
      <c r="C41" s="119"/>
    </row>
    <row r="42" spans="1:3" x14ac:dyDescent="0.25">
      <c r="A42" s="62">
        <v>24</v>
      </c>
      <c r="B42" s="124" t="s">
        <v>171</v>
      </c>
      <c r="C42" s="125"/>
    </row>
    <row r="43" spans="1:3" x14ac:dyDescent="0.25">
      <c r="A43" s="62">
        <v>25</v>
      </c>
      <c r="B43" s="124" t="s">
        <v>172</v>
      </c>
      <c r="C43" s="125"/>
    </row>
    <row r="44" spans="1:3" x14ac:dyDescent="0.25">
      <c r="A44" s="62">
        <v>26</v>
      </c>
      <c r="B44" s="124" t="s">
        <v>173</v>
      </c>
      <c r="C44" s="125"/>
    </row>
    <row r="45" spans="1:3" x14ac:dyDescent="0.25">
      <c r="A45" s="62">
        <v>27</v>
      </c>
      <c r="B45" s="126" t="s">
        <v>174</v>
      </c>
      <c r="C45" s="125"/>
    </row>
    <row r="46" spans="1:3" x14ac:dyDescent="0.25">
      <c r="A46" s="62">
        <v>28</v>
      </c>
      <c r="B46" s="127" t="s">
        <v>175</v>
      </c>
      <c r="C46" s="128"/>
    </row>
    <row r="47" spans="1:3" ht="35.25" customHeight="1" x14ac:dyDescent="0.25">
      <c r="A47" s="62">
        <v>29</v>
      </c>
      <c r="B47" s="129" t="s">
        <v>176</v>
      </c>
      <c r="C47" s="130"/>
    </row>
    <row r="48" spans="1:3" x14ac:dyDescent="0.25">
      <c r="A48" s="62">
        <v>30</v>
      </c>
      <c r="B48" s="127" t="s">
        <v>177</v>
      </c>
      <c r="C48" s="128"/>
    </row>
    <row r="49" spans="1:3" x14ac:dyDescent="0.25">
      <c r="A49" s="62">
        <v>31</v>
      </c>
      <c r="B49" s="115" t="s">
        <v>178</v>
      </c>
      <c r="C49" s="116"/>
    </row>
    <row r="50" spans="1:3" x14ac:dyDescent="0.25">
      <c r="A50" s="62">
        <v>32</v>
      </c>
      <c r="B50" s="115" t="s">
        <v>179</v>
      </c>
      <c r="C50" s="116"/>
    </row>
    <row r="51" spans="1:3" x14ac:dyDescent="0.25">
      <c r="A51" s="117" t="s">
        <v>12</v>
      </c>
      <c r="B51" s="118"/>
      <c r="C51" s="119"/>
    </row>
    <row r="52" spans="1:3" x14ac:dyDescent="0.25">
      <c r="A52" s="67">
        <v>33</v>
      </c>
      <c r="B52" s="75" t="s">
        <v>180</v>
      </c>
      <c r="C52" s="76"/>
    </row>
    <row r="53" spans="1:3" ht="37.5" customHeight="1" thickBot="1" x14ac:dyDescent="0.3">
      <c r="A53" s="68">
        <v>34</v>
      </c>
      <c r="B53" s="120" t="s">
        <v>181</v>
      </c>
      <c r="C53" s="121"/>
    </row>
    <row r="54" spans="1:3" ht="16.5" thickTop="1" x14ac:dyDescent="0.25">
      <c r="A54" s="57"/>
      <c r="B54" s="57"/>
    </row>
    <row r="63" spans="1:3" x14ac:dyDescent="0.25">
      <c r="A63" s="122"/>
      <c r="B63" s="123"/>
      <c r="C63" s="123"/>
    </row>
  </sheetData>
  <sheetProtection algorithmName="SHA-512" hashValue="o7k0xPGk37EhDYhhfNeLgOMi2WAIvpivbs8p12ZpXQw3P07zLw7eJcT/ZaSQu9ubzj45Ua283u0RI9mYWVOh7g==" saltValue="vt7cO/QT4U2uin7nvJKVlQ==" spinCount="100000" sheet="1" objects="1" scenarios="1"/>
  <mergeCells count="52">
    <mergeCell ref="B7:C7"/>
    <mergeCell ref="A1:C1"/>
    <mergeCell ref="B3:C3"/>
    <mergeCell ref="A4:C4"/>
    <mergeCell ref="B5:C5"/>
    <mergeCell ref="B6:C6"/>
    <mergeCell ref="B19:C19"/>
    <mergeCell ref="B8:C8"/>
    <mergeCell ref="B9:C9"/>
    <mergeCell ref="B10:C10"/>
    <mergeCell ref="B11:C11"/>
    <mergeCell ref="B12:C12"/>
    <mergeCell ref="B13:C13"/>
    <mergeCell ref="A14:C14"/>
    <mergeCell ref="B15:C15"/>
    <mergeCell ref="B16:C16"/>
    <mergeCell ref="B17:C17"/>
    <mergeCell ref="B18:C18"/>
    <mergeCell ref="B31:C31"/>
    <mergeCell ref="A20:C20"/>
    <mergeCell ref="B21:C21"/>
    <mergeCell ref="B22:C22"/>
    <mergeCell ref="B23:C23"/>
    <mergeCell ref="B24:C24"/>
    <mergeCell ref="B25:C25"/>
    <mergeCell ref="B26:C26"/>
    <mergeCell ref="B27:C27"/>
    <mergeCell ref="B28:C28"/>
    <mergeCell ref="B29:C29"/>
    <mergeCell ref="A30:C30"/>
    <mergeCell ref="B43:C43"/>
    <mergeCell ref="B32:C32"/>
    <mergeCell ref="B33:C33"/>
    <mergeCell ref="B34:C34"/>
    <mergeCell ref="B35:C35"/>
    <mergeCell ref="B36:C36"/>
    <mergeCell ref="B37:C37"/>
    <mergeCell ref="B38:C38"/>
    <mergeCell ref="B39:C39"/>
    <mergeCell ref="B40:C40"/>
    <mergeCell ref="A41:C41"/>
    <mergeCell ref="B42:C42"/>
    <mergeCell ref="B50:C50"/>
    <mergeCell ref="A51:C51"/>
    <mergeCell ref="B53:C53"/>
    <mergeCell ref="A63:C63"/>
    <mergeCell ref="B44:C44"/>
    <mergeCell ref="B45:C45"/>
    <mergeCell ref="B46:C46"/>
    <mergeCell ref="B47:C47"/>
    <mergeCell ref="B48:C48"/>
    <mergeCell ref="B49:C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zoomScaleNormal="100" zoomScaleSheetLayoutView="100" workbookViewId="0">
      <selection activeCell="H46" sqref="H46:J46"/>
    </sheetView>
  </sheetViews>
  <sheetFormatPr defaultRowHeight="12.75" x14ac:dyDescent="0.2"/>
  <cols>
    <col min="1" max="1" width="2" style="8" customWidth="1"/>
    <col min="2" max="2" width="8.28515625" style="8" customWidth="1"/>
    <col min="3" max="3" width="8.5703125" style="8" customWidth="1"/>
    <col min="4" max="5" width="7.7109375" style="8" customWidth="1"/>
    <col min="6" max="6" width="8.5703125" style="8" customWidth="1"/>
    <col min="7" max="7" width="8.7109375" style="8" customWidth="1"/>
    <col min="8" max="8" width="9.140625" style="8"/>
    <col min="9" max="9" width="7.7109375" style="8" customWidth="1"/>
    <col min="10" max="10" width="9.28515625" style="8" customWidth="1"/>
    <col min="11" max="11" width="7.7109375" style="8" customWidth="1"/>
    <col min="12" max="13" width="14.42578125" style="8" customWidth="1"/>
    <col min="14" max="15" width="8.42578125" style="8" customWidth="1"/>
    <col min="16" max="16" width="9.5703125" style="8" customWidth="1"/>
    <col min="17" max="17" width="4.7109375" style="8" customWidth="1"/>
    <col min="18" max="16384" width="9.140625" style="8"/>
  </cols>
  <sheetData>
    <row r="1" spans="1:17" x14ac:dyDescent="0.2">
      <c r="B1" s="253" t="s">
        <v>18</v>
      </c>
      <c r="C1" s="254"/>
      <c r="D1" s="254"/>
      <c r="E1" s="254"/>
      <c r="F1" s="254"/>
      <c r="G1" s="254"/>
      <c r="H1" s="254"/>
      <c r="I1" s="254"/>
      <c r="J1" s="254"/>
      <c r="K1" s="254"/>
      <c r="L1" s="254"/>
      <c r="M1" s="255"/>
    </row>
    <row r="2" spans="1:17" ht="12.75" customHeight="1" x14ac:dyDescent="0.2">
      <c r="B2" s="259" t="s">
        <v>195</v>
      </c>
      <c r="C2" s="260"/>
      <c r="D2" s="260"/>
      <c r="E2" s="260"/>
      <c r="F2" s="260"/>
      <c r="G2" s="260"/>
      <c r="H2" s="260"/>
      <c r="I2" s="260"/>
      <c r="J2" s="260"/>
      <c r="K2" s="260"/>
      <c r="L2" s="260"/>
      <c r="M2" s="261"/>
    </row>
    <row r="3" spans="1:17" ht="12.75" customHeight="1" thickBot="1" x14ac:dyDescent="0.25">
      <c r="A3" s="9"/>
      <c r="B3" s="281" t="s">
        <v>3</v>
      </c>
      <c r="C3" s="282"/>
      <c r="D3" s="282"/>
      <c r="E3" s="282"/>
      <c r="F3" s="282"/>
      <c r="G3" s="282"/>
      <c r="H3" s="282"/>
      <c r="I3" s="282"/>
      <c r="J3" s="282"/>
      <c r="K3" s="282"/>
      <c r="L3" s="282"/>
      <c r="M3" s="283"/>
    </row>
    <row r="4" spans="1:17" ht="28.5" customHeight="1" thickBot="1" x14ac:dyDescent="0.25">
      <c r="A4" s="9"/>
      <c r="B4" s="278" t="s">
        <v>16</v>
      </c>
      <c r="C4" s="279"/>
      <c r="D4" s="279"/>
      <c r="E4" s="279"/>
      <c r="F4" s="280"/>
      <c r="G4" s="146"/>
      <c r="H4" s="147"/>
      <c r="I4" s="147"/>
      <c r="J4" s="147"/>
      <c r="K4" s="147"/>
      <c r="L4" s="147"/>
      <c r="M4" s="148"/>
    </row>
    <row r="5" spans="1:17" ht="27" customHeight="1" x14ac:dyDescent="0.2">
      <c r="A5" s="10"/>
      <c r="B5" s="290" t="s">
        <v>0</v>
      </c>
      <c r="C5" s="291"/>
      <c r="D5" s="291"/>
      <c r="E5" s="291"/>
      <c r="F5" s="295" t="s">
        <v>4</v>
      </c>
      <c r="G5" s="178"/>
      <c r="H5" s="175" t="s">
        <v>7</v>
      </c>
      <c r="I5" s="175"/>
      <c r="J5" s="175"/>
      <c r="K5" s="175" t="s">
        <v>10</v>
      </c>
      <c r="L5" s="175"/>
      <c r="M5" s="277"/>
      <c r="O5" s="54"/>
      <c r="P5" s="155" t="s">
        <v>48</v>
      </c>
      <c r="Q5" s="155"/>
    </row>
    <row r="6" spans="1:17" ht="44.1" customHeight="1" x14ac:dyDescent="0.2">
      <c r="A6" s="9"/>
      <c r="B6" s="292"/>
      <c r="C6" s="293"/>
      <c r="D6" s="293"/>
      <c r="E6" s="294"/>
      <c r="F6" s="256" t="s">
        <v>118</v>
      </c>
      <c r="G6" s="256"/>
      <c r="H6" s="257" t="s">
        <v>52</v>
      </c>
      <c r="I6" s="257"/>
      <c r="J6" s="257"/>
      <c r="K6" s="203"/>
      <c r="L6" s="203"/>
      <c r="M6" s="258"/>
      <c r="O6" s="55"/>
      <c r="P6" s="156" t="s">
        <v>50</v>
      </c>
      <c r="Q6" s="156"/>
    </row>
    <row r="7" spans="1:17" ht="29.25" customHeight="1" x14ac:dyDescent="0.2">
      <c r="A7" s="9"/>
      <c r="B7" s="174" t="s">
        <v>53</v>
      </c>
      <c r="C7" s="175"/>
      <c r="D7" s="175"/>
      <c r="E7" s="175"/>
      <c r="F7" s="178" t="s">
        <v>5</v>
      </c>
      <c r="G7" s="178"/>
      <c r="H7" s="175" t="s">
        <v>19</v>
      </c>
      <c r="I7" s="175"/>
      <c r="J7" s="175"/>
      <c r="K7" s="175" t="s">
        <v>15</v>
      </c>
      <c r="L7" s="175"/>
      <c r="M7" s="277"/>
      <c r="O7" s="56"/>
      <c r="P7" s="156" t="s">
        <v>49</v>
      </c>
      <c r="Q7" s="156"/>
    </row>
    <row r="8" spans="1:17" ht="27.95" customHeight="1" thickBot="1" x14ac:dyDescent="0.25">
      <c r="A8" s="9"/>
      <c r="B8" s="284"/>
      <c r="C8" s="285"/>
      <c r="D8" s="285"/>
      <c r="E8" s="285"/>
      <c r="F8" s="276"/>
      <c r="G8" s="276"/>
      <c r="H8" s="286"/>
      <c r="I8" s="287"/>
      <c r="J8" s="287"/>
      <c r="K8" s="286">
        <v>0</v>
      </c>
      <c r="L8" s="287"/>
      <c r="M8" s="288"/>
    </row>
    <row r="9" spans="1:17" ht="12.75" customHeight="1" x14ac:dyDescent="0.2">
      <c r="A9" s="10"/>
      <c r="B9" s="157"/>
      <c r="C9" s="158"/>
      <c r="D9" s="158"/>
      <c r="E9" s="158"/>
      <c r="F9" s="158"/>
      <c r="G9" s="158"/>
      <c r="H9" s="158"/>
      <c r="I9" s="158"/>
      <c r="J9" s="158"/>
      <c r="K9" s="158"/>
      <c r="L9" s="158"/>
      <c r="M9" s="159"/>
    </row>
    <row r="10" spans="1:17" ht="12.75" customHeight="1" x14ac:dyDescent="0.2">
      <c r="A10" s="9"/>
      <c r="B10" s="262" t="s">
        <v>1</v>
      </c>
      <c r="C10" s="263"/>
      <c r="D10" s="263"/>
      <c r="E10" s="263"/>
      <c r="F10" s="263"/>
      <c r="G10" s="263"/>
      <c r="H10" s="263"/>
      <c r="I10" s="263"/>
      <c r="J10" s="263"/>
      <c r="K10" s="263"/>
      <c r="L10" s="263"/>
      <c r="M10" s="264"/>
      <c r="N10" s="106"/>
      <c r="O10" s="107"/>
      <c r="P10" s="107"/>
      <c r="Q10" s="107"/>
    </row>
    <row r="11" spans="1:17" ht="32.25" customHeight="1" x14ac:dyDescent="0.2">
      <c r="A11" s="9"/>
      <c r="B11" s="174" t="s">
        <v>6</v>
      </c>
      <c r="C11" s="175"/>
      <c r="D11" s="175"/>
      <c r="E11" s="175" t="s">
        <v>200</v>
      </c>
      <c r="F11" s="175"/>
      <c r="G11" s="175"/>
      <c r="H11" s="175"/>
      <c r="I11" s="175" t="s">
        <v>9</v>
      </c>
      <c r="J11" s="175"/>
      <c r="K11" s="175"/>
      <c r="L11" s="175" t="s">
        <v>218</v>
      </c>
      <c r="M11" s="277"/>
      <c r="N11" s="108"/>
      <c r="O11" s="107"/>
      <c r="P11" s="107"/>
      <c r="Q11" s="107"/>
    </row>
    <row r="12" spans="1:17" ht="21" customHeight="1" x14ac:dyDescent="0.2">
      <c r="A12" s="9"/>
      <c r="B12" s="202">
        <v>120</v>
      </c>
      <c r="C12" s="203"/>
      <c r="D12" s="203"/>
      <c r="E12" s="275">
        <f>+VLOOKUP(F6,'Average Yield'!$A$24:$B$36,2,FALSE)</f>
        <v>1.5468913830075022</v>
      </c>
      <c r="F12" s="275"/>
      <c r="G12" s="275"/>
      <c r="H12" s="275"/>
      <c r="I12" s="271">
        <f>E12*B12</f>
        <v>185.62696596090026</v>
      </c>
      <c r="J12" s="271"/>
      <c r="K12" s="271"/>
      <c r="L12" s="271">
        <f>I12+B14+H8</f>
        <v>185.62696596090026</v>
      </c>
      <c r="M12" s="272"/>
      <c r="N12" s="108"/>
      <c r="O12" s="107"/>
      <c r="P12" s="107"/>
      <c r="Q12" s="107"/>
    </row>
    <row r="13" spans="1:17" ht="20.25" customHeight="1" x14ac:dyDescent="0.2">
      <c r="A13" s="9"/>
      <c r="B13" s="174" t="s">
        <v>17</v>
      </c>
      <c r="C13" s="175"/>
      <c r="D13" s="175"/>
      <c r="E13" s="175"/>
      <c r="F13" s="175"/>
      <c r="G13" s="175"/>
      <c r="H13" s="175"/>
      <c r="I13" s="175"/>
      <c r="J13" s="175"/>
      <c r="K13" s="175"/>
      <c r="L13" s="273"/>
      <c r="M13" s="274"/>
      <c r="N13" s="108"/>
      <c r="O13" s="107"/>
      <c r="P13" s="107"/>
      <c r="Q13" s="107"/>
    </row>
    <row r="14" spans="1:17" ht="21" customHeight="1" x14ac:dyDescent="0.2">
      <c r="A14" s="9"/>
      <c r="B14" s="202">
        <v>0</v>
      </c>
      <c r="C14" s="203"/>
      <c r="D14" s="203"/>
      <c r="E14" s="203"/>
      <c r="F14" s="203"/>
      <c r="G14" s="203"/>
      <c r="H14" s="203"/>
      <c r="I14" s="203"/>
      <c r="J14" s="203"/>
      <c r="K14" s="203"/>
      <c r="L14" s="273"/>
      <c r="M14" s="274"/>
      <c r="N14" s="108"/>
      <c r="O14" s="107"/>
      <c r="P14" s="107"/>
      <c r="Q14" s="107"/>
    </row>
    <row r="15" spans="1:17" s="105" customFormat="1" ht="36" customHeight="1" x14ac:dyDescent="0.2">
      <c r="A15" s="104"/>
      <c r="B15" s="192" t="s">
        <v>217</v>
      </c>
      <c r="C15" s="193"/>
      <c r="D15" s="193"/>
      <c r="E15" s="193"/>
      <c r="F15" s="193"/>
      <c r="G15" s="193"/>
      <c r="H15" s="193"/>
      <c r="I15" s="193"/>
      <c r="J15" s="193"/>
      <c r="K15" s="193"/>
      <c r="L15" s="193"/>
      <c r="M15" s="194"/>
      <c r="N15" s="108"/>
      <c r="O15" s="107"/>
      <c r="P15" s="107"/>
      <c r="Q15" s="107"/>
    </row>
    <row r="16" spans="1:17" s="105" customFormat="1" ht="36" customHeight="1" x14ac:dyDescent="0.2">
      <c r="A16" s="104"/>
      <c r="B16" s="195"/>
      <c r="C16" s="196"/>
      <c r="D16" s="196"/>
      <c r="E16" s="196"/>
      <c r="F16" s="196"/>
      <c r="G16" s="196"/>
      <c r="H16" s="196"/>
      <c r="I16" s="196"/>
      <c r="J16" s="196"/>
      <c r="K16" s="196"/>
      <c r="L16" s="196"/>
      <c r="M16" s="197"/>
      <c r="N16" s="108"/>
      <c r="O16" s="107"/>
      <c r="P16" s="107"/>
      <c r="Q16" s="107"/>
    </row>
    <row r="17" spans="1:17" ht="12.75" customHeight="1" x14ac:dyDescent="0.2">
      <c r="A17" s="9"/>
      <c r="B17" s="230" t="s">
        <v>2</v>
      </c>
      <c r="C17" s="231"/>
      <c r="D17" s="231"/>
      <c r="E17" s="231"/>
      <c r="F17" s="231"/>
      <c r="G17" s="231"/>
      <c r="H17" s="231"/>
      <c r="I17" s="231"/>
      <c r="J17" s="231"/>
      <c r="K17" s="231"/>
      <c r="L17" s="231"/>
      <c r="M17" s="232"/>
      <c r="N17" s="108"/>
      <c r="O17" s="107"/>
      <c r="P17" s="107"/>
      <c r="Q17" s="107"/>
    </row>
    <row r="18" spans="1:17" ht="25.5" customHeight="1" x14ac:dyDescent="0.2">
      <c r="A18" s="9"/>
      <c r="B18" s="174" t="s">
        <v>41</v>
      </c>
      <c r="C18" s="175"/>
      <c r="D18" s="175"/>
      <c r="E18" s="175" t="s">
        <v>42</v>
      </c>
      <c r="F18" s="175"/>
      <c r="G18" s="175"/>
      <c r="H18" s="175"/>
      <c r="I18" s="175" t="s">
        <v>43</v>
      </c>
      <c r="J18" s="175"/>
      <c r="K18" s="175"/>
      <c r="L18" s="175" t="s">
        <v>46</v>
      </c>
      <c r="M18" s="277"/>
      <c r="N18" s="108"/>
      <c r="O18" s="107"/>
      <c r="P18" s="107"/>
      <c r="Q18" s="107"/>
    </row>
    <row r="19" spans="1:17" ht="21" customHeight="1" x14ac:dyDescent="0.2">
      <c r="A19" s="9"/>
      <c r="B19" s="202">
        <f>B12</f>
        <v>120</v>
      </c>
      <c r="C19" s="203"/>
      <c r="D19" s="203"/>
      <c r="E19" s="217">
        <v>1.2</v>
      </c>
      <c r="F19" s="217"/>
      <c r="G19" s="217"/>
      <c r="H19" s="217"/>
      <c r="I19" s="271">
        <f>E19*B19</f>
        <v>144</v>
      </c>
      <c r="J19" s="271"/>
      <c r="K19" s="271"/>
      <c r="L19" s="271">
        <f>I19+B21-I21+K8</f>
        <v>144</v>
      </c>
      <c r="M19" s="272"/>
      <c r="N19" s="108"/>
      <c r="O19" s="107"/>
      <c r="P19" s="107"/>
      <c r="Q19" s="107"/>
    </row>
    <row r="20" spans="1:17" ht="25.5" customHeight="1" x14ac:dyDescent="0.2">
      <c r="A20" s="9"/>
      <c r="B20" s="174" t="s">
        <v>44</v>
      </c>
      <c r="C20" s="175"/>
      <c r="D20" s="175"/>
      <c r="E20" s="175"/>
      <c r="F20" s="175"/>
      <c r="G20" s="175"/>
      <c r="H20" s="175"/>
      <c r="I20" s="175" t="s">
        <v>45</v>
      </c>
      <c r="J20" s="175"/>
      <c r="K20" s="175"/>
      <c r="L20" s="271"/>
      <c r="M20" s="272"/>
      <c r="N20" s="108"/>
      <c r="O20" s="107"/>
      <c r="P20" s="107"/>
      <c r="Q20" s="107"/>
    </row>
    <row r="21" spans="1:17" ht="21" customHeight="1" x14ac:dyDescent="0.2">
      <c r="A21" s="9"/>
      <c r="B21" s="202">
        <v>0</v>
      </c>
      <c r="C21" s="203"/>
      <c r="D21" s="203"/>
      <c r="E21" s="203"/>
      <c r="F21" s="203"/>
      <c r="G21" s="203"/>
      <c r="H21" s="203"/>
      <c r="I21" s="203">
        <v>0</v>
      </c>
      <c r="J21" s="203"/>
      <c r="K21" s="203"/>
      <c r="L21" s="271"/>
      <c r="M21" s="272"/>
      <c r="N21" s="108"/>
      <c r="O21" s="107"/>
      <c r="P21" s="107"/>
      <c r="Q21" s="107"/>
    </row>
    <row r="22" spans="1:17" x14ac:dyDescent="0.2">
      <c r="A22" s="9"/>
      <c r="B22" s="265" t="s">
        <v>47</v>
      </c>
      <c r="C22" s="266"/>
      <c r="D22" s="266"/>
      <c r="E22" s="266"/>
      <c r="F22" s="266"/>
      <c r="G22" s="266"/>
      <c r="H22" s="266"/>
      <c r="I22" s="266"/>
      <c r="J22" s="266"/>
      <c r="K22" s="266"/>
      <c r="L22" s="266"/>
      <c r="M22" s="267"/>
      <c r="N22" s="108"/>
      <c r="O22" s="107"/>
      <c r="P22" s="107"/>
      <c r="Q22" s="107"/>
    </row>
    <row r="23" spans="1:17" ht="37.5" customHeight="1" x14ac:dyDescent="0.2">
      <c r="A23" s="9"/>
      <c r="B23" s="268"/>
      <c r="C23" s="269"/>
      <c r="D23" s="269"/>
      <c r="E23" s="269"/>
      <c r="F23" s="269"/>
      <c r="G23" s="269"/>
      <c r="H23" s="269"/>
      <c r="I23" s="269"/>
      <c r="J23" s="269"/>
      <c r="K23" s="269"/>
      <c r="L23" s="269"/>
      <c r="M23" s="270"/>
      <c r="N23" s="108"/>
      <c r="O23" s="107"/>
      <c r="P23" s="107"/>
      <c r="Q23" s="107"/>
    </row>
    <row r="24" spans="1:17" ht="19.5" customHeight="1" x14ac:dyDescent="0.2">
      <c r="A24" s="9"/>
      <c r="B24" s="226" t="s">
        <v>93</v>
      </c>
      <c r="C24" s="227"/>
      <c r="D24" s="227"/>
      <c r="E24" s="227"/>
      <c r="F24" s="227"/>
      <c r="G24" s="227"/>
      <c r="H24" s="227"/>
      <c r="I24" s="227"/>
      <c r="J24" s="227"/>
      <c r="K24" s="227"/>
      <c r="L24" s="227"/>
      <c r="M24" s="228"/>
    </row>
    <row r="25" spans="1:17" x14ac:dyDescent="0.2">
      <c r="A25" s="9"/>
      <c r="B25" s="160"/>
      <c r="C25" s="296" t="s">
        <v>27</v>
      </c>
      <c r="D25" s="297"/>
      <c r="E25" s="298"/>
      <c r="F25" s="162"/>
      <c r="G25" s="12" t="s">
        <v>36</v>
      </c>
      <c r="H25" s="162"/>
      <c r="I25" s="238"/>
      <c r="J25" s="239"/>
      <c r="K25" s="239"/>
      <c r="L25" s="239"/>
      <c r="M25" s="240"/>
    </row>
    <row r="26" spans="1:17" ht="26.25" customHeight="1" x14ac:dyDescent="0.2">
      <c r="A26" s="9"/>
      <c r="B26" s="161"/>
      <c r="C26" s="229" t="s">
        <v>99</v>
      </c>
      <c r="D26" s="229"/>
      <c r="E26" s="229"/>
      <c r="F26" s="163"/>
      <c r="G26" s="13">
        <f>+VLOOKUP(C26,Sheet1!$C$1:$D$12,2,FALSE)</f>
        <v>1.85</v>
      </c>
      <c r="H26" s="163"/>
      <c r="I26" s="241"/>
      <c r="J26" s="242"/>
      <c r="K26" s="242"/>
      <c r="L26" s="242"/>
      <c r="M26" s="243"/>
    </row>
    <row r="27" spans="1:17" ht="27" customHeight="1" x14ac:dyDescent="0.2">
      <c r="A27" s="9"/>
      <c r="B27" s="305" t="s">
        <v>29</v>
      </c>
      <c r="C27" s="297"/>
      <c r="D27" s="297"/>
      <c r="E27" s="298"/>
      <c r="F27" s="225" t="s">
        <v>30</v>
      </c>
      <c r="G27" s="225"/>
      <c r="H27" s="225"/>
      <c r="I27" s="241"/>
      <c r="J27" s="242"/>
      <c r="K27" s="242"/>
      <c r="L27" s="242"/>
      <c r="M27" s="243"/>
    </row>
    <row r="28" spans="1:17" ht="24" customHeight="1" x14ac:dyDescent="0.2">
      <c r="A28" s="9"/>
      <c r="B28" s="24" t="s">
        <v>24</v>
      </c>
      <c r="C28" s="114">
        <v>1</v>
      </c>
      <c r="D28" s="299"/>
      <c r="E28" s="300"/>
      <c r="F28" s="224" t="s">
        <v>37</v>
      </c>
      <c r="G28" s="14">
        <f>IF(C28=Sheet1!F6,0,C28*$G$26-($G$26*0.5))</f>
        <v>0.92500000000000004</v>
      </c>
      <c r="H28" s="11" t="s">
        <v>38</v>
      </c>
      <c r="I28" s="241"/>
      <c r="J28" s="242"/>
      <c r="K28" s="242"/>
      <c r="L28" s="242"/>
      <c r="M28" s="243"/>
    </row>
    <row r="29" spans="1:17" ht="22.5" customHeight="1" x14ac:dyDescent="0.2">
      <c r="A29" s="9"/>
      <c r="B29" s="24" t="s">
        <v>25</v>
      </c>
      <c r="C29" s="114">
        <v>1</v>
      </c>
      <c r="D29" s="301"/>
      <c r="E29" s="302"/>
      <c r="F29" s="225"/>
      <c r="G29" s="14">
        <f>IF(C29=Sheet1!F6,0,C29*$G$26-($G$26*0.5))</f>
        <v>0.92500000000000004</v>
      </c>
      <c r="H29" s="11" t="s">
        <v>38</v>
      </c>
      <c r="I29" s="241"/>
      <c r="J29" s="242"/>
      <c r="K29" s="242"/>
      <c r="L29" s="242"/>
      <c r="M29" s="243"/>
    </row>
    <row r="30" spans="1:17" ht="17.25" customHeight="1" x14ac:dyDescent="0.2">
      <c r="A30" s="9"/>
      <c r="B30" s="24" t="s">
        <v>26</v>
      </c>
      <c r="C30" s="114">
        <v>1</v>
      </c>
      <c r="D30" s="303"/>
      <c r="E30" s="304"/>
      <c r="F30" s="225"/>
      <c r="G30" s="14">
        <f>IF(C30=Sheet1!F6,0,C30*$G$26-($G$26*0.5))</f>
        <v>0.92500000000000004</v>
      </c>
      <c r="H30" s="11" t="s">
        <v>38</v>
      </c>
      <c r="I30" s="241"/>
      <c r="J30" s="242"/>
      <c r="K30" s="242"/>
      <c r="L30" s="242"/>
      <c r="M30" s="243"/>
    </row>
    <row r="31" spans="1:17" ht="50.1" customHeight="1" x14ac:dyDescent="0.2">
      <c r="A31" s="9"/>
      <c r="B31" s="247"/>
      <c r="C31" s="248"/>
      <c r="D31" s="248"/>
      <c r="E31" s="249"/>
      <c r="F31" s="23" t="s">
        <v>37</v>
      </c>
      <c r="G31" s="14">
        <f>SUM(G28:G30)</f>
        <v>2.7750000000000004</v>
      </c>
      <c r="H31" s="11" t="s">
        <v>39</v>
      </c>
      <c r="I31" s="244"/>
      <c r="J31" s="245"/>
      <c r="K31" s="245"/>
      <c r="L31" s="245"/>
      <c r="M31" s="246"/>
    </row>
    <row r="32" spans="1:17" ht="22.5" customHeight="1" x14ac:dyDescent="0.2">
      <c r="A32" s="9"/>
      <c r="B32" s="235" t="s">
        <v>61</v>
      </c>
      <c r="C32" s="236"/>
      <c r="D32" s="236"/>
      <c r="E32" s="236"/>
      <c r="F32" s="236"/>
      <c r="G32" s="236"/>
      <c r="H32" s="236"/>
      <c r="I32" s="236"/>
      <c r="J32" s="236"/>
      <c r="K32" s="236"/>
      <c r="L32" s="236"/>
      <c r="M32" s="237"/>
    </row>
    <row r="33" spans="1:16" ht="24" customHeight="1" thickBot="1" x14ac:dyDescent="0.25">
      <c r="A33" s="9"/>
      <c r="B33" s="25">
        <v>7.47</v>
      </c>
      <c r="C33" s="26" t="s">
        <v>40</v>
      </c>
      <c r="D33" s="251" t="s">
        <v>109</v>
      </c>
      <c r="E33" s="251"/>
      <c r="F33" s="251"/>
      <c r="G33" s="251"/>
      <c r="H33" s="251"/>
      <c r="I33" s="251"/>
      <c r="J33" s="251"/>
      <c r="K33" s="251"/>
      <c r="L33" s="251"/>
      <c r="M33" s="252"/>
    </row>
    <row r="34" spans="1:16" ht="24" customHeight="1" thickBot="1" x14ac:dyDescent="0.25">
      <c r="A34" s="9"/>
      <c r="B34" s="35">
        <v>4.88</v>
      </c>
      <c r="C34" s="36" t="s">
        <v>40</v>
      </c>
      <c r="D34" s="250" t="s">
        <v>110</v>
      </c>
      <c r="E34" s="250"/>
      <c r="F34" s="250"/>
      <c r="G34" s="250"/>
      <c r="H34" s="250"/>
      <c r="I34" s="250"/>
      <c r="J34" s="250"/>
      <c r="K34" s="250"/>
      <c r="L34" s="250"/>
      <c r="M34" s="250"/>
    </row>
    <row r="35" spans="1:16" ht="24" customHeight="1" thickBot="1" x14ac:dyDescent="0.25">
      <c r="A35" s="9"/>
      <c r="B35" s="32"/>
      <c r="C35" s="33"/>
      <c r="D35" s="34"/>
      <c r="E35" s="34"/>
      <c r="F35" s="34"/>
      <c r="G35" s="34"/>
      <c r="H35" s="34"/>
      <c r="I35" s="34"/>
      <c r="J35" s="34"/>
      <c r="K35" s="34"/>
      <c r="L35" s="34"/>
      <c r="M35" s="34"/>
    </row>
    <row r="36" spans="1:16" ht="12.75" customHeight="1" x14ac:dyDescent="0.2">
      <c r="A36" s="9"/>
      <c r="B36" s="212" t="s">
        <v>182</v>
      </c>
      <c r="C36" s="213"/>
      <c r="D36" s="213"/>
      <c r="E36" s="213"/>
      <c r="F36" s="213"/>
      <c r="G36" s="213"/>
      <c r="H36" s="213"/>
      <c r="I36" s="213"/>
      <c r="J36" s="213"/>
      <c r="K36" s="213"/>
      <c r="L36" s="213"/>
      <c r="M36" s="213"/>
      <c r="N36" s="213"/>
      <c r="O36" s="213"/>
      <c r="P36" s="214"/>
    </row>
    <row r="37" spans="1:16" ht="51.75" customHeight="1" x14ac:dyDescent="0.2">
      <c r="A37" s="9"/>
      <c r="B37" s="220" t="s">
        <v>54</v>
      </c>
      <c r="C37" s="178"/>
      <c r="D37" s="178"/>
      <c r="E37" s="178" t="s">
        <v>55</v>
      </c>
      <c r="F37" s="178"/>
      <c r="G37" s="41" t="s">
        <v>56</v>
      </c>
      <c r="H37" s="145" t="s">
        <v>57</v>
      </c>
      <c r="I37" s="145"/>
      <c r="J37" s="145"/>
      <c r="K37" s="15" t="s">
        <v>58</v>
      </c>
      <c r="L37" s="145" t="s">
        <v>92</v>
      </c>
      <c r="M37" s="145"/>
      <c r="N37" s="11" t="s">
        <v>59</v>
      </c>
      <c r="O37" s="11" t="s">
        <v>60</v>
      </c>
      <c r="P37" s="49" t="s">
        <v>196</v>
      </c>
    </row>
    <row r="38" spans="1:16" ht="21.75" customHeight="1" x14ac:dyDescent="0.2">
      <c r="A38" s="9"/>
      <c r="B38" s="182" t="s">
        <v>106</v>
      </c>
      <c r="C38" s="183"/>
      <c r="D38" s="184"/>
      <c r="E38" s="204">
        <v>40</v>
      </c>
      <c r="F38" s="184"/>
      <c r="G38" s="72">
        <v>30</v>
      </c>
      <c r="H38" s="205" t="s">
        <v>34</v>
      </c>
      <c r="I38" s="206"/>
      <c r="J38" s="207"/>
      <c r="K38" s="16">
        <f>IFERROR(VLOOKUP(H38,Sheet1!$I$1:$J$4,2,FALSE),"")</f>
        <v>0.85</v>
      </c>
      <c r="L38" s="208">
        <v>15</v>
      </c>
      <c r="M38" s="209"/>
      <c r="N38" s="17">
        <f t="shared" ref="N38:N39" si="0">IFERROR(IF(((L38-$B$33-G30)/K38)&gt;0,((L38-$B$33-G30)/K38),0),"")</f>
        <v>7.7705882352941185</v>
      </c>
      <c r="O38" s="17">
        <f t="shared" ref="O38:O39" si="1">IFERROR(N38*G38,"")</f>
        <v>233.11764705882356</v>
      </c>
      <c r="P38" s="50">
        <f t="shared" ref="P38:P39" si="2">IFERROR(O38/12,"")</f>
        <v>19.426470588235297</v>
      </c>
    </row>
    <row r="39" spans="1:16" ht="21.75" customHeight="1" x14ac:dyDescent="0.2">
      <c r="A39" s="9"/>
      <c r="B39" s="202" t="s">
        <v>130</v>
      </c>
      <c r="C39" s="203"/>
      <c r="D39" s="203"/>
      <c r="E39" s="203"/>
      <c r="F39" s="203"/>
      <c r="G39" s="72">
        <v>10</v>
      </c>
      <c r="H39" s="210" t="s">
        <v>34</v>
      </c>
      <c r="I39" s="210"/>
      <c r="J39" s="210"/>
      <c r="K39" s="16">
        <f>IFERROR(VLOOKUP(H39,Sheet1!$I$1:$J$4,2,FALSE),"")</f>
        <v>0.85</v>
      </c>
      <c r="L39" s="211">
        <v>36</v>
      </c>
      <c r="M39" s="211"/>
      <c r="N39" s="17">
        <f t="shared" si="0"/>
        <v>30.300000000000004</v>
      </c>
      <c r="O39" s="17">
        <f t="shared" si="1"/>
        <v>303.00000000000006</v>
      </c>
      <c r="P39" s="50">
        <f t="shared" si="2"/>
        <v>25.250000000000004</v>
      </c>
    </row>
    <row r="40" spans="1:16" ht="21.75" customHeight="1" x14ac:dyDescent="0.2">
      <c r="A40" s="9"/>
      <c r="B40" s="202"/>
      <c r="C40" s="203"/>
      <c r="D40" s="203"/>
      <c r="E40" s="203"/>
      <c r="F40" s="203"/>
      <c r="G40" s="39"/>
      <c r="H40" s="205"/>
      <c r="I40" s="206"/>
      <c r="J40" s="207"/>
      <c r="K40" s="16" t="str">
        <f>IFERROR(VLOOKUP(H40,Sheet1!$I$1:$J$4,2,FALSE),"")</f>
        <v/>
      </c>
      <c r="L40" s="204"/>
      <c r="M40" s="184"/>
      <c r="N40" s="17" t="str">
        <f>IFERROR(IF(((L40-$B$33-G32)/K40)&gt;0,((L40-$B$33-G32)/K40),0),"")</f>
        <v/>
      </c>
      <c r="O40" s="17" t="str">
        <f>IFERROR(N40*G40,"")</f>
        <v/>
      </c>
      <c r="P40" s="50" t="str">
        <f>IFERROR(O40/12,"")</f>
        <v/>
      </c>
    </row>
    <row r="41" spans="1:16" ht="30" customHeight="1" x14ac:dyDescent="0.2">
      <c r="A41" s="9"/>
      <c r="B41" s="176"/>
      <c r="C41" s="177"/>
      <c r="D41" s="178" t="s">
        <v>11</v>
      </c>
      <c r="E41" s="178"/>
      <c r="F41" s="18"/>
      <c r="G41" s="73">
        <f>SUM(G38:G40)</f>
        <v>40</v>
      </c>
      <c r="H41" s="179" t="s">
        <v>192</v>
      </c>
      <c r="I41" s="180"/>
      <c r="J41" s="180"/>
      <c r="K41" s="180"/>
      <c r="L41" s="180"/>
      <c r="M41" s="181"/>
      <c r="N41" s="17">
        <f>SUM(N38:N40)</f>
        <v>38.070588235294125</v>
      </c>
      <c r="O41" s="17">
        <f t="shared" ref="O41:P41" si="3">SUM(O38:O40)</f>
        <v>536.11764705882365</v>
      </c>
      <c r="P41" s="50">
        <f t="shared" si="3"/>
        <v>44.676470588235304</v>
      </c>
    </row>
    <row r="42" spans="1:16" ht="15.75" customHeight="1" x14ac:dyDescent="0.2">
      <c r="A42" s="9"/>
      <c r="B42" s="218" t="s">
        <v>183</v>
      </c>
      <c r="C42" s="219"/>
      <c r="D42" s="219"/>
      <c r="E42" s="219"/>
      <c r="F42" s="219"/>
      <c r="G42" s="219"/>
      <c r="H42" s="219"/>
      <c r="I42" s="198">
        <f>L19-P41</f>
        <v>99.323529411764696</v>
      </c>
      <c r="J42" s="198"/>
      <c r="K42" s="199"/>
      <c r="L42" s="200"/>
      <c r="M42" s="200"/>
      <c r="N42" s="200"/>
      <c r="O42" s="200"/>
      <c r="P42" s="201"/>
    </row>
    <row r="43" spans="1:16" ht="12.75" customHeight="1" x14ac:dyDescent="0.2">
      <c r="A43" s="9"/>
      <c r="B43" s="149"/>
      <c r="C43" s="150"/>
      <c r="D43" s="150"/>
      <c r="E43" s="150"/>
      <c r="F43" s="150"/>
      <c r="G43" s="150"/>
      <c r="H43" s="150"/>
      <c r="I43" s="150"/>
      <c r="J43" s="150"/>
      <c r="K43" s="150"/>
      <c r="L43" s="150"/>
      <c r="M43" s="150"/>
      <c r="N43" s="150"/>
      <c r="O43" s="150"/>
      <c r="P43" s="151"/>
    </row>
    <row r="44" spans="1:16" ht="12.75" customHeight="1" x14ac:dyDescent="0.2">
      <c r="A44" s="9"/>
      <c r="B44" s="230" t="s">
        <v>13</v>
      </c>
      <c r="C44" s="231"/>
      <c r="D44" s="231"/>
      <c r="E44" s="231"/>
      <c r="F44" s="231"/>
      <c r="G44" s="231"/>
      <c r="H44" s="231"/>
      <c r="I44" s="231"/>
      <c r="J44" s="231"/>
      <c r="K44" s="231"/>
      <c r="L44" s="231"/>
      <c r="M44" s="231"/>
      <c r="N44" s="231"/>
      <c r="O44" s="231"/>
      <c r="P44" s="232"/>
    </row>
    <row r="45" spans="1:16" ht="60" customHeight="1" x14ac:dyDescent="0.2">
      <c r="A45" s="9"/>
      <c r="B45" s="220" t="s">
        <v>184</v>
      </c>
      <c r="C45" s="178"/>
      <c r="D45" s="178"/>
      <c r="E45" s="178" t="s">
        <v>185</v>
      </c>
      <c r="F45" s="178"/>
      <c r="G45" s="41" t="s">
        <v>186</v>
      </c>
      <c r="H45" s="145" t="s">
        <v>187</v>
      </c>
      <c r="I45" s="145"/>
      <c r="J45" s="145"/>
      <c r="K45" s="15" t="s">
        <v>188</v>
      </c>
      <c r="L45" s="145" t="s">
        <v>189</v>
      </c>
      <c r="M45" s="145"/>
      <c r="N45" s="11" t="s">
        <v>190</v>
      </c>
      <c r="O45" s="11" t="s">
        <v>191</v>
      </c>
      <c r="P45" s="49" t="s">
        <v>197</v>
      </c>
    </row>
    <row r="46" spans="1:16" ht="36.75" customHeight="1" thickBot="1" x14ac:dyDescent="0.25">
      <c r="A46" s="9"/>
      <c r="B46" s="233" t="s">
        <v>35</v>
      </c>
      <c r="C46" s="234"/>
      <c r="D46" s="216"/>
      <c r="E46" s="215">
        <v>180</v>
      </c>
      <c r="F46" s="216"/>
      <c r="G46" s="74">
        <v>80</v>
      </c>
      <c r="H46" s="221" t="s">
        <v>34</v>
      </c>
      <c r="I46" s="222"/>
      <c r="J46" s="223"/>
      <c r="K46" s="51">
        <f>+VLOOKUP(H46,Sheet1!$I$1:$J$4,2,FALSE)</f>
        <v>0.85</v>
      </c>
      <c r="L46" s="215">
        <v>26.81</v>
      </c>
      <c r="M46" s="216"/>
      <c r="N46" s="52">
        <f>IF(((L46-$B$33-G31)/K46)&gt;0,((L46-$B$33-G31)/K46),0)</f>
        <v>19.488235294117644</v>
      </c>
      <c r="O46" s="52">
        <f>N46*G46</f>
        <v>1559.0588235294115</v>
      </c>
      <c r="P46" s="53">
        <f>O46/12</f>
        <v>129.92156862745097</v>
      </c>
    </row>
    <row r="47" spans="1:16" ht="32.1" customHeight="1" thickBot="1" x14ac:dyDescent="0.25">
      <c r="A47" s="9"/>
      <c r="B47" s="164"/>
      <c r="C47" s="164"/>
      <c r="D47" s="164"/>
      <c r="E47" s="164"/>
      <c r="F47" s="164"/>
      <c r="G47" s="164"/>
      <c r="H47" s="164"/>
      <c r="I47" s="164"/>
      <c r="J47" s="164"/>
      <c r="K47" s="164"/>
      <c r="L47" s="164"/>
      <c r="M47" s="164"/>
      <c r="N47" s="164"/>
      <c r="O47" s="164"/>
      <c r="P47" s="164"/>
    </row>
    <row r="48" spans="1:16" x14ac:dyDescent="0.2">
      <c r="A48" s="9"/>
      <c r="B48" s="165" t="s">
        <v>12</v>
      </c>
      <c r="C48" s="166"/>
      <c r="D48" s="166"/>
      <c r="E48" s="166"/>
      <c r="F48" s="166"/>
      <c r="G48" s="166"/>
      <c r="H48" s="166"/>
      <c r="I48" s="166"/>
      <c r="J48" s="166"/>
      <c r="K48" s="166"/>
      <c r="L48" s="166"/>
      <c r="M48" s="167"/>
      <c r="N48" s="43"/>
      <c r="O48" s="43"/>
      <c r="P48" s="43"/>
    </row>
    <row r="49" spans="1:17" x14ac:dyDescent="0.2">
      <c r="A49" s="9"/>
      <c r="B49" s="168" t="s">
        <v>193</v>
      </c>
      <c r="C49" s="169"/>
      <c r="D49" s="169"/>
      <c r="E49" s="169"/>
      <c r="F49" s="169"/>
      <c r="G49" s="169"/>
      <c r="H49" s="169"/>
      <c r="I49" s="169"/>
      <c r="J49" s="169"/>
      <c r="K49" s="169"/>
      <c r="L49" s="169"/>
      <c r="M49" s="170"/>
      <c r="N49" s="44"/>
      <c r="O49" s="44"/>
      <c r="P49" s="44"/>
    </row>
    <row r="50" spans="1:17" ht="26.25" thickBot="1" x14ac:dyDescent="0.25">
      <c r="A50" s="9"/>
      <c r="B50" s="171" t="str">
        <f>IF(P46&gt;=I42,"No","Yes")</f>
        <v>No</v>
      </c>
      <c r="C50" s="172"/>
      <c r="D50" s="172"/>
      <c r="E50" s="172"/>
      <c r="F50" s="172"/>
      <c r="G50" s="172"/>
      <c r="H50" s="172"/>
      <c r="I50" s="172"/>
      <c r="J50" s="172"/>
      <c r="K50" s="172"/>
      <c r="L50" s="172"/>
      <c r="M50" s="173"/>
      <c r="N50" s="42"/>
      <c r="O50" s="42"/>
      <c r="P50" s="42"/>
    </row>
    <row r="51" spans="1:17" ht="125.25" customHeight="1" thickBot="1" x14ac:dyDescent="0.4">
      <c r="A51" s="9"/>
      <c r="B51" s="152"/>
      <c r="C51" s="153"/>
      <c r="D51" s="153"/>
      <c r="E51" s="153"/>
      <c r="F51" s="153"/>
      <c r="G51" s="153"/>
      <c r="H51" s="153"/>
      <c r="I51" s="153"/>
      <c r="J51" s="153"/>
      <c r="K51" s="153"/>
      <c r="L51" s="153"/>
      <c r="M51" s="154"/>
    </row>
    <row r="52" spans="1:17" x14ac:dyDescent="0.2">
      <c r="A52" s="9"/>
      <c r="B52" s="185" t="s">
        <v>194</v>
      </c>
      <c r="C52" s="186"/>
      <c r="D52" s="186"/>
      <c r="E52" s="186"/>
      <c r="F52" s="186"/>
      <c r="G52" s="186"/>
      <c r="H52" s="186"/>
      <c r="I52" s="186"/>
      <c r="J52" s="186"/>
      <c r="K52" s="186"/>
      <c r="L52" s="186"/>
      <c r="M52" s="187"/>
      <c r="N52" s="19"/>
      <c r="O52" s="19"/>
      <c r="P52" s="19"/>
    </row>
    <row r="53" spans="1:17" ht="20.25" customHeight="1" thickBot="1" x14ac:dyDescent="0.25">
      <c r="A53" s="9"/>
      <c r="B53" s="45" t="str">
        <f>B46</f>
        <v>Corn</v>
      </c>
      <c r="C53" s="46">
        <f>IF(P46&lt;I42,G46,I42/(N46/12))</f>
        <v>61.159070329006944</v>
      </c>
      <c r="D53" s="47" t="s">
        <v>8</v>
      </c>
      <c r="E53" s="190"/>
      <c r="F53" s="191"/>
      <c r="G53" s="48">
        <f>C53*N46/12</f>
        <v>99.323529411764696</v>
      </c>
      <c r="H53" s="289" t="s">
        <v>51</v>
      </c>
      <c r="I53" s="289"/>
      <c r="J53" s="71"/>
      <c r="K53" s="48">
        <f>G53*12/C53</f>
        <v>19.488235294117644</v>
      </c>
      <c r="L53" s="188" t="s">
        <v>62</v>
      </c>
      <c r="M53" s="189"/>
      <c r="N53" s="20"/>
      <c r="O53" s="20"/>
      <c r="P53" s="20"/>
    </row>
    <row r="54" spans="1:17" ht="19.5" customHeight="1" x14ac:dyDescent="0.2">
      <c r="A54" s="9"/>
      <c r="G54" s="21"/>
    </row>
    <row r="55" spans="1:17" ht="27" customHeight="1" x14ac:dyDescent="0.2">
      <c r="A55" s="9"/>
      <c r="B55" s="142" t="s">
        <v>14</v>
      </c>
      <c r="C55" s="142"/>
      <c r="D55" s="142"/>
      <c r="E55" s="142"/>
      <c r="F55" s="142"/>
      <c r="G55" s="142"/>
      <c r="H55" s="142"/>
      <c r="I55" s="142"/>
      <c r="J55" s="142"/>
      <c r="K55" s="142"/>
      <c r="L55" s="142"/>
      <c r="M55" s="142"/>
      <c r="N55" s="142"/>
      <c r="O55" s="142"/>
      <c r="P55" s="142"/>
      <c r="Q55" s="113"/>
    </row>
    <row r="56" spans="1:17" ht="12.75" customHeight="1" x14ac:dyDescent="0.2">
      <c r="A56" s="9"/>
      <c r="B56" s="111"/>
      <c r="C56" s="111"/>
      <c r="D56" s="111"/>
      <c r="E56" s="111"/>
      <c r="F56" s="111"/>
      <c r="G56" s="111"/>
      <c r="H56" s="111"/>
      <c r="I56" s="111"/>
      <c r="J56" s="111"/>
      <c r="K56" s="111"/>
      <c r="L56" s="111"/>
      <c r="M56" s="111"/>
      <c r="N56" s="105"/>
      <c r="O56" s="105"/>
      <c r="P56" s="105"/>
      <c r="Q56" s="105"/>
    </row>
    <row r="57" spans="1:17" ht="43.5" customHeight="1" x14ac:dyDescent="0.2">
      <c r="A57" s="9"/>
      <c r="B57" s="143" t="s">
        <v>216</v>
      </c>
      <c r="C57" s="143"/>
      <c r="D57" s="143"/>
      <c r="E57" s="143"/>
      <c r="F57" s="143"/>
      <c r="G57" s="143"/>
      <c r="H57" s="143"/>
      <c r="I57" s="143"/>
      <c r="J57" s="143"/>
      <c r="K57" s="143"/>
      <c r="L57" s="143"/>
      <c r="M57" s="143"/>
      <c r="N57" s="143"/>
      <c r="O57" s="143"/>
      <c r="P57" s="143"/>
      <c r="Q57" s="109"/>
    </row>
    <row r="58" spans="1:17" ht="12.75" customHeight="1" x14ac:dyDescent="0.2">
      <c r="A58" s="9"/>
      <c r="B58" s="112"/>
      <c r="C58" s="112"/>
      <c r="D58" s="112"/>
      <c r="E58" s="112"/>
      <c r="F58" s="112"/>
      <c r="G58" s="112"/>
      <c r="H58" s="112"/>
      <c r="I58" s="112"/>
      <c r="J58" s="112"/>
      <c r="K58" s="112"/>
      <c r="L58" s="112"/>
      <c r="M58" s="112"/>
      <c r="N58" s="105"/>
      <c r="O58" s="105"/>
      <c r="P58" s="105"/>
      <c r="Q58" s="105"/>
    </row>
    <row r="59" spans="1:17" ht="13.5" customHeight="1" x14ac:dyDescent="0.2">
      <c r="A59" s="9"/>
      <c r="B59" s="143" t="s">
        <v>63</v>
      </c>
      <c r="C59" s="143"/>
      <c r="D59" s="143"/>
      <c r="E59" s="143"/>
      <c r="F59" s="143"/>
      <c r="G59" s="143"/>
      <c r="H59" s="143"/>
      <c r="I59" s="143"/>
      <c r="J59" s="143"/>
      <c r="K59" s="143"/>
      <c r="L59" s="143"/>
      <c r="M59" s="143"/>
      <c r="N59" s="143"/>
      <c r="O59" s="143"/>
      <c r="P59" s="143"/>
      <c r="Q59" s="109"/>
    </row>
    <row r="60" spans="1:17" ht="13.5" customHeight="1" x14ac:dyDescent="0.2">
      <c r="B60" s="143"/>
      <c r="C60" s="143"/>
      <c r="D60" s="143"/>
      <c r="E60" s="143"/>
      <c r="F60" s="143"/>
      <c r="G60" s="143"/>
      <c r="H60" s="143"/>
      <c r="I60" s="143"/>
      <c r="J60" s="143"/>
      <c r="K60" s="143"/>
      <c r="L60" s="143"/>
      <c r="M60" s="143"/>
      <c r="N60" s="143"/>
      <c r="O60" s="143"/>
      <c r="P60" s="143"/>
      <c r="Q60" s="109"/>
    </row>
    <row r="61" spans="1:17" ht="1.5" customHeight="1" x14ac:dyDescent="0.2">
      <c r="B61" s="103"/>
      <c r="C61" s="103"/>
      <c r="D61" s="103"/>
      <c r="E61" s="103"/>
      <c r="F61" s="103"/>
      <c r="G61" s="103"/>
      <c r="H61" s="103"/>
      <c r="I61" s="103"/>
      <c r="J61" s="103"/>
      <c r="K61" s="103"/>
      <c r="L61" s="103"/>
      <c r="M61" s="103"/>
      <c r="N61" s="103"/>
      <c r="O61" s="103"/>
      <c r="P61" s="103"/>
      <c r="Q61" s="109"/>
    </row>
    <row r="62" spans="1:17" s="22" customFormat="1" ht="18" customHeight="1" x14ac:dyDescent="0.2">
      <c r="B62" s="144" t="s">
        <v>20</v>
      </c>
      <c r="C62" s="144"/>
      <c r="D62" s="144"/>
      <c r="E62" s="144"/>
      <c r="F62" s="144"/>
      <c r="G62" s="144"/>
      <c r="H62" s="144"/>
      <c r="I62" s="144"/>
      <c r="J62" s="144"/>
      <c r="K62" s="144"/>
      <c r="L62" s="144"/>
      <c r="M62" s="144"/>
      <c r="N62" s="144"/>
      <c r="O62" s="144"/>
      <c r="P62" s="144"/>
      <c r="Q62" s="110"/>
    </row>
    <row r="63" spans="1:17" ht="60.75" customHeight="1" x14ac:dyDescent="0.2"/>
    <row r="64" spans="1:17" ht="12" customHeight="1" x14ac:dyDescent="0.2"/>
  </sheetData>
  <sheetProtection algorithmName="SHA-512" hashValue="c9v1AxzChe6kzVDO9sGZeSk0f/26iosQJJN1Mr5FB4Y6IWbaPFqAfqcXMErtsQrQKsw0ZFKQlys5gbbnro2+KQ==" saltValue="Uoy5dYWLbjkaZIbWgurKyw==" spinCount="100000" sheet="1" objects="1" scenarios="1" selectLockedCells="1"/>
  <mergeCells count="113">
    <mergeCell ref="H53:I53"/>
    <mergeCell ref="H8:J8"/>
    <mergeCell ref="B5:E5"/>
    <mergeCell ref="E11:H11"/>
    <mergeCell ref="K7:M7"/>
    <mergeCell ref="L11:M11"/>
    <mergeCell ref="B6:E6"/>
    <mergeCell ref="F7:G7"/>
    <mergeCell ref="H5:J5"/>
    <mergeCell ref="B20:H20"/>
    <mergeCell ref="B21:H21"/>
    <mergeCell ref="L45:M45"/>
    <mergeCell ref="I21:K21"/>
    <mergeCell ref="F5:G5"/>
    <mergeCell ref="B7:E7"/>
    <mergeCell ref="B45:D45"/>
    <mergeCell ref="C25:E25"/>
    <mergeCell ref="D28:E30"/>
    <mergeCell ref="B27:E27"/>
    <mergeCell ref="B11:D11"/>
    <mergeCell ref="H37:J37"/>
    <mergeCell ref="I19:K19"/>
    <mergeCell ref="L18:M18"/>
    <mergeCell ref="L19:M21"/>
    <mergeCell ref="B1:M1"/>
    <mergeCell ref="F6:G6"/>
    <mergeCell ref="H6:J6"/>
    <mergeCell ref="K6:M6"/>
    <mergeCell ref="F27:H27"/>
    <mergeCell ref="B2:M2"/>
    <mergeCell ref="B10:M10"/>
    <mergeCell ref="B14:K14"/>
    <mergeCell ref="B22:M22"/>
    <mergeCell ref="B23:M23"/>
    <mergeCell ref="L12:M14"/>
    <mergeCell ref="B12:D12"/>
    <mergeCell ref="I12:K12"/>
    <mergeCell ref="E12:H12"/>
    <mergeCell ref="B17:M17"/>
    <mergeCell ref="F8:G8"/>
    <mergeCell ref="I11:K11"/>
    <mergeCell ref="K5:M5"/>
    <mergeCell ref="B4:F4"/>
    <mergeCell ref="B3:M3"/>
    <mergeCell ref="B8:E8"/>
    <mergeCell ref="K8:M8"/>
    <mergeCell ref="H7:J7"/>
    <mergeCell ref="E18:H18"/>
    <mergeCell ref="E46:F46"/>
    <mergeCell ref="B18:D18"/>
    <mergeCell ref="I18:K18"/>
    <mergeCell ref="F28:F30"/>
    <mergeCell ref="B24:M24"/>
    <mergeCell ref="I20:K20"/>
    <mergeCell ref="B19:D19"/>
    <mergeCell ref="C26:E26"/>
    <mergeCell ref="B44:P44"/>
    <mergeCell ref="B46:D46"/>
    <mergeCell ref="B32:M32"/>
    <mergeCell ref="I25:M31"/>
    <mergeCell ref="B31:E31"/>
    <mergeCell ref="E45:F45"/>
    <mergeCell ref="H45:J45"/>
    <mergeCell ref="D34:M34"/>
    <mergeCell ref="D33:M33"/>
    <mergeCell ref="B52:M52"/>
    <mergeCell ref="L53:M53"/>
    <mergeCell ref="E53:F53"/>
    <mergeCell ref="B15:M16"/>
    <mergeCell ref="I42:J42"/>
    <mergeCell ref="K42:P42"/>
    <mergeCell ref="B40:D40"/>
    <mergeCell ref="E40:F40"/>
    <mergeCell ref="L40:M40"/>
    <mergeCell ref="H40:J40"/>
    <mergeCell ref="E38:F38"/>
    <mergeCell ref="H38:J38"/>
    <mergeCell ref="L38:M38"/>
    <mergeCell ref="B39:D39"/>
    <mergeCell ref="E39:F39"/>
    <mergeCell ref="H39:J39"/>
    <mergeCell ref="L39:M39"/>
    <mergeCell ref="B36:P36"/>
    <mergeCell ref="L46:M46"/>
    <mergeCell ref="E19:H19"/>
    <mergeCell ref="B42:H42"/>
    <mergeCell ref="B37:D37"/>
    <mergeCell ref="E37:F37"/>
    <mergeCell ref="H46:J46"/>
    <mergeCell ref="B55:P55"/>
    <mergeCell ref="B57:P57"/>
    <mergeCell ref="B59:P60"/>
    <mergeCell ref="B62:P62"/>
    <mergeCell ref="L37:M37"/>
    <mergeCell ref="G4:M4"/>
    <mergeCell ref="B43:P43"/>
    <mergeCell ref="B51:M51"/>
    <mergeCell ref="P5:Q5"/>
    <mergeCell ref="P6:Q6"/>
    <mergeCell ref="P7:Q7"/>
    <mergeCell ref="B9:M9"/>
    <mergeCell ref="B25:B26"/>
    <mergeCell ref="F25:F26"/>
    <mergeCell ref="H25:H26"/>
    <mergeCell ref="B47:P47"/>
    <mergeCell ref="B48:M48"/>
    <mergeCell ref="B49:M49"/>
    <mergeCell ref="B50:M50"/>
    <mergeCell ref="B13:K13"/>
    <mergeCell ref="B41:C41"/>
    <mergeCell ref="D41:E41"/>
    <mergeCell ref="H41:M41"/>
    <mergeCell ref="B38:D38"/>
  </mergeCells>
  <phoneticPr fontId="7" type="noConversion"/>
  <dataValidations count="3">
    <dataValidation type="list" allowBlank="1" showInputMessage="1" showErrorMessage="1" sqref="H6:J6">
      <formula1>WaterSupply</formula1>
    </dataValidation>
    <dataValidation type="list" allowBlank="1" showInputMessage="1" showErrorMessage="1" promptTitle="Soil_Type" sqref="C26:E26">
      <formula1>Soil_Type</formula1>
    </dataValidation>
    <dataValidation type="list" allowBlank="1" showInputMessage="1" showErrorMessage="1" sqref="F6:G6">
      <formula1>Canal</formula1>
    </dataValidation>
  </dataValidations>
  <printOptions horizontalCentered="1" verticalCentered="1"/>
  <pageMargins left="0.25" right="0.25" top="0.75" bottom="0.75" header="0.3" footer="0.3"/>
  <pageSetup scale="70" fitToHeight="2" orientation="portrait" horizontalDpi="300" verticalDpi="300" r:id="rId1"/>
  <headerFooter alignWithMargins="0"/>
  <rowBreaks count="1" manualBreakCount="1">
    <brk id="34"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Soil_Moisture">
          <x14:formula1>
            <xm:f>Sheet1!$F$1:$F$6</xm:f>
          </x14:formula1>
          <xm:sqref>C28:C30</xm:sqref>
        </x14:dataValidation>
        <x14:dataValidation type="list" allowBlank="1" showInputMessage="1" showErrorMessage="1" promptTitle="System_Type">
          <x14:formula1>
            <xm:f>Sheet1!$I$1:$I$4</xm:f>
          </x14:formula1>
          <xm:sqref>H46:J46 H38:H40 I38:J39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6"/>
  <sheetViews>
    <sheetView zoomScaleNormal="100" workbookViewId="0">
      <selection activeCell="G26" sqref="G26:G37"/>
    </sheetView>
  </sheetViews>
  <sheetFormatPr defaultRowHeight="15" x14ac:dyDescent="0.25"/>
  <cols>
    <col min="1" max="16384" width="9.140625" style="4"/>
  </cols>
  <sheetData>
    <row r="1" spans="1:17" x14ac:dyDescent="0.25">
      <c r="A1" s="4" t="s">
        <v>64</v>
      </c>
    </row>
    <row r="6" spans="1:17" x14ac:dyDescent="0.25">
      <c r="A6" s="4" t="s">
        <v>65</v>
      </c>
      <c r="D6" s="4">
        <v>2</v>
      </c>
      <c r="F6" s="4" t="s">
        <v>38</v>
      </c>
    </row>
    <row r="7" spans="1:17" x14ac:dyDescent="0.25">
      <c r="A7" s="4" t="s">
        <v>66</v>
      </c>
      <c r="D7" s="4">
        <f>(0.531747+0.295164*D6-0.057697*D6^2+0.003804*D6^3)</f>
        <v>0.92171899999999996</v>
      </c>
    </row>
    <row r="8" spans="1:17" x14ac:dyDescent="0.25">
      <c r="G8" s="4" t="s">
        <v>70</v>
      </c>
      <c r="P8" s="4" t="s">
        <v>70</v>
      </c>
    </row>
    <row r="9" spans="1:17" x14ac:dyDescent="0.25">
      <c r="A9" s="4" t="s">
        <v>67</v>
      </c>
      <c r="C9" s="4" t="s">
        <v>68</v>
      </c>
      <c r="D9" s="31" t="s">
        <v>107</v>
      </c>
      <c r="E9" s="31" t="s">
        <v>108</v>
      </c>
      <c r="G9" s="37" t="s">
        <v>111</v>
      </c>
      <c r="H9" s="37" t="s">
        <v>106</v>
      </c>
      <c r="J9" s="4" t="s">
        <v>71</v>
      </c>
      <c r="L9" s="4" t="s">
        <v>68</v>
      </c>
      <c r="M9" s="4" t="s">
        <v>69</v>
      </c>
      <c r="N9" s="31" t="s">
        <v>108</v>
      </c>
      <c r="P9" s="37" t="s">
        <v>111</v>
      </c>
      <c r="Q9" s="37" t="s">
        <v>106</v>
      </c>
    </row>
    <row r="10" spans="1:17" x14ac:dyDescent="0.25">
      <c r="B10" s="4" t="s">
        <v>72</v>
      </c>
      <c r="C10" s="4">
        <v>0.43</v>
      </c>
      <c r="D10" s="4">
        <v>0</v>
      </c>
      <c r="G10" s="5"/>
      <c r="K10" s="4" t="s">
        <v>72</v>
      </c>
      <c r="L10" s="4">
        <v>0.36</v>
      </c>
      <c r="M10" s="4">
        <v>0</v>
      </c>
      <c r="P10" s="5"/>
    </row>
    <row r="11" spans="1:17" x14ac:dyDescent="0.25">
      <c r="B11" s="4" t="s">
        <v>73</v>
      </c>
      <c r="C11" s="4">
        <v>0.42</v>
      </c>
      <c r="D11" s="4">
        <v>0</v>
      </c>
      <c r="G11" s="5"/>
      <c r="K11" s="4" t="s">
        <v>73</v>
      </c>
      <c r="L11" s="4">
        <v>0.37</v>
      </c>
      <c r="M11" s="4">
        <v>0</v>
      </c>
      <c r="P11" s="5"/>
    </row>
    <row r="12" spans="1:17" x14ac:dyDescent="0.25">
      <c r="B12" s="4" t="s">
        <v>74</v>
      </c>
      <c r="C12" s="4">
        <v>0.89</v>
      </c>
      <c r="D12" s="4">
        <v>0</v>
      </c>
      <c r="G12" s="5"/>
      <c r="K12" s="4" t="s">
        <v>74</v>
      </c>
      <c r="L12" s="4">
        <v>0.82</v>
      </c>
      <c r="M12" s="4">
        <v>0</v>
      </c>
      <c r="P12" s="5"/>
    </row>
    <row r="13" spans="1:17" x14ac:dyDescent="0.25">
      <c r="B13" s="4" t="s">
        <v>75</v>
      </c>
      <c r="C13" s="4">
        <v>1.29</v>
      </c>
      <c r="D13" s="4">
        <v>0</v>
      </c>
      <c r="E13" s="4">
        <v>3</v>
      </c>
      <c r="G13" s="5"/>
      <c r="H13" s="5">
        <f>$D$7*(0.70917*(C13^0.82416)-0.11556)*(10^(0.02426*E13))</f>
        <v>0.8274477206239319</v>
      </c>
      <c r="K13" s="4" t="s">
        <v>75</v>
      </c>
      <c r="L13" s="4">
        <v>1.28</v>
      </c>
      <c r="M13" s="4">
        <v>0</v>
      </c>
      <c r="N13" s="4">
        <v>3</v>
      </c>
      <c r="P13" s="5"/>
      <c r="Q13" s="5">
        <f>$D$7*(0.70917*(L13^0.82416)-0.11556)*(10^(0.02426*N13))</f>
        <v>0.82135247616264651</v>
      </c>
    </row>
    <row r="14" spans="1:17" x14ac:dyDescent="0.25">
      <c r="B14" s="4" t="s">
        <v>76</v>
      </c>
      <c r="C14" s="4">
        <v>2.41</v>
      </c>
      <c r="D14" s="4">
        <v>3</v>
      </c>
      <c r="E14" s="4">
        <v>7</v>
      </c>
      <c r="G14" s="5">
        <f t="shared" ref="G14:H18" si="0">$D$7*(0.70917*(C14^0.82416)-0.11556)*(10^(0.02426*D14))</f>
        <v>1.4698299938384902</v>
      </c>
      <c r="H14" s="5">
        <f t="shared" si="0"/>
        <v>2.232493605464521</v>
      </c>
      <c r="K14" s="4" t="s">
        <v>76</v>
      </c>
      <c r="L14" s="4">
        <v>2.46</v>
      </c>
      <c r="M14" s="4">
        <v>4</v>
      </c>
      <c r="N14" s="4">
        <v>7</v>
      </c>
      <c r="P14" s="5">
        <f t="shared" ref="P14:P18" si="1">$D$7*(0.70917*(L14^0.82416)-0.11556)*(10^(0.02426*M14))</f>
        <v>1.5830734575166701</v>
      </c>
      <c r="Q14" s="5">
        <f t="shared" ref="Q14" si="2">$D$7*(0.70917*(M14^0.82416)-0.11556)*(10^(0.02426*N14))</f>
        <v>2.8719618672860108</v>
      </c>
    </row>
    <row r="15" spans="1:17" x14ac:dyDescent="0.25">
      <c r="B15" s="4" t="s">
        <v>77</v>
      </c>
      <c r="C15" s="4">
        <v>2.2799999999999998</v>
      </c>
      <c r="D15" s="4">
        <v>6</v>
      </c>
      <c r="E15" s="4">
        <v>5</v>
      </c>
      <c r="G15" s="5">
        <f t="shared" si="0"/>
        <v>1.6536967452873907</v>
      </c>
      <c r="H15" s="5">
        <f>$D$7*(0.70917*(D15^0.82416)-0.11556)*(10^(0.02426*E15))*0.5</f>
        <v>1.8216655824602717</v>
      </c>
      <c r="K15" s="4" t="s">
        <v>77</v>
      </c>
      <c r="L15" s="4">
        <v>2.6110000000000002</v>
      </c>
      <c r="M15" s="4">
        <v>6</v>
      </c>
      <c r="N15" s="4">
        <v>5</v>
      </c>
      <c r="P15" s="5">
        <f t="shared" si="1"/>
        <v>1.8667688014191888</v>
      </c>
      <c r="Q15" s="5">
        <f>$D$7*(0.70917*(M15^0.82416)-0.11556)*(10^(0.02426*N15))*0.5</f>
        <v>1.8216655824602717</v>
      </c>
    </row>
    <row r="16" spans="1:17" x14ac:dyDescent="0.25">
      <c r="B16" s="4" t="s">
        <v>78</v>
      </c>
      <c r="C16" s="4">
        <v>2.27</v>
      </c>
      <c r="D16" s="4">
        <v>8</v>
      </c>
      <c r="G16" s="5">
        <f t="shared" si="0"/>
        <v>1.8418768651504411</v>
      </c>
      <c r="K16" s="4" t="s">
        <v>78</v>
      </c>
      <c r="L16" s="4">
        <v>2.31</v>
      </c>
      <c r="M16" s="4">
        <v>8</v>
      </c>
      <c r="P16" s="5">
        <f t="shared" si="1"/>
        <v>1.8709993273049317</v>
      </c>
    </row>
    <row r="17" spans="1:17" x14ac:dyDescent="0.25">
      <c r="B17" s="4" t="s">
        <v>79</v>
      </c>
      <c r="C17" s="4">
        <v>2.13</v>
      </c>
      <c r="D17" s="4">
        <v>8</v>
      </c>
      <c r="G17" s="5">
        <f t="shared" si="0"/>
        <v>1.7392237777668158</v>
      </c>
      <c r="K17" s="4" t="s">
        <v>79</v>
      </c>
      <c r="L17" s="4">
        <v>2.37</v>
      </c>
      <c r="M17" s="4">
        <v>8</v>
      </c>
      <c r="P17" s="5">
        <f t="shared" si="1"/>
        <v>1.9145175571779154</v>
      </c>
    </row>
    <row r="18" spans="1:17" x14ac:dyDescent="0.25">
      <c r="B18" s="4" t="s">
        <v>80</v>
      </c>
      <c r="C18" s="4">
        <v>1.19</v>
      </c>
      <c r="D18" s="4">
        <v>3</v>
      </c>
      <c r="G18" s="5">
        <f t="shared" si="0"/>
        <v>0.7661086057558244</v>
      </c>
      <c r="K18" s="4" t="s">
        <v>80</v>
      </c>
      <c r="L18" s="4">
        <v>1.37</v>
      </c>
      <c r="M18" s="4">
        <v>4</v>
      </c>
      <c r="P18" s="5">
        <f t="shared" si="1"/>
        <v>0.92623868938181486</v>
      </c>
    </row>
    <row r="19" spans="1:17" x14ac:dyDescent="0.25">
      <c r="B19" s="4" t="s">
        <v>81</v>
      </c>
      <c r="C19" s="4">
        <v>0.89</v>
      </c>
      <c r="D19" s="4">
        <v>0</v>
      </c>
      <c r="G19" s="5"/>
      <c r="K19" s="4" t="s">
        <v>81</v>
      </c>
      <c r="L19" s="4">
        <v>1.07</v>
      </c>
      <c r="M19" s="4">
        <v>0</v>
      </c>
      <c r="P19" s="5"/>
    </row>
    <row r="20" spans="1:17" x14ac:dyDescent="0.25">
      <c r="B20" s="4" t="s">
        <v>82</v>
      </c>
      <c r="C20" s="4">
        <v>0.59</v>
      </c>
      <c r="D20" s="4">
        <v>0</v>
      </c>
      <c r="G20" s="5"/>
      <c r="K20" s="4" t="s">
        <v>82</v>
      </c>
      <c r="L20" s="4">
        <v>0.51</v>
      </c>
      <c r="M20" s="4">
        <v>0</v>
      </c>
      <c r="P20" s="5"/>
    </row>
    <row r="21" spans="1:17" x14ac:dyDescent="0.25">
      <c r="B21" s="4" t="s">
        <v>83</v>
      </c>
      <c r="C21" s="4">
        <v>0.4</v>
      </c>
      <c r="D21" s="4">
        <v>0</v>
      </c>
      <c r="G21" s="5"/>
      <c r="K21" s="4" t="s">
        <v>83</v>
      </c>
      <c r="L21" s="4">
        <v>0.33</v>
      </c>
      <c r="M21" s="4">
        <v>0</v>
      </c>
      <c r="P21" s="5"/>
    </row>
    <row r="22" spans="1:17" x14ac:dyDescent="0.25">
      <c r="B22" s="4" t="s">
        <v>84</v>
      </c>
      <c r="C22" s="6">
        <f>SUM(C10:C21)</f>
        <v>15.190000000000001</v>
      </c>
      <c r="F22" s="4" t="s">
        <v>84</v>
      </c>
      <c r="G22" s="7">
        <f>SUM(G10:G21)</f>
        <v>7.4707359877989612</v>
      </c>
      <c r="H22" s="7">
        <f>SUM(H10:H21)</f>
        <v>4.8816069085487248</v>
      </c>
      <c r="K22" s="4" t="s">
        <v>84</v>
      </c>
      <c r="L22" s="6">
        <f>SUM(L10:L21)</f>
        <v>15.861000000000001</v>
      </c>
      <c r="O22" s="4" t="s">
        <v>84</v>
      </c>
      <c r="P22" s="7">
        <f>SUM(P10:P21)</f>
        <v>8.1615978328005205</v>
      </c>
      <c r="Q22" s="7">
        <f>SUM(Q10:Q21)</f>
        <v>5.5149799259089285</v>
      </c>
    </row>
    <row r="23" spans="1:17" x14ac:dyDescent="0.25">
      <c r="G23" s="5"/>
      <c r="O23" s="5"/>
    </row>
    <row r="24" spans="1:17" x14ac:dyDescent="0.25">
      <c r="G24" s="4" t="s">
        <v>70</v>
      </c>
      <c r="P24" s="4" t="s">
        <v>70</v>
      </c>
    </row>
    <row r="25" spans="1:17" x14ac:dyDescent="0.25">
      <c r="A25" s="4" t="s">
        <v>85</v>
      </c>
      <c r="C25" s="4" t="s">
        <v>68</v>
      </c>
      <c r="D25" s="4" t="s">
        <v>69</v>
      </c>
      <c r="E25" s="31" t="s">
        <v>108</v>
      </c>
      <c r="G25" s="37" t="s">
        <v>111</v>
      </c>
      <c r="H25" s="37" t="s">
        <v>106</v>
      </c>
      <c r="J25" s="4" t="s">
        <v>86</v>
      </c>
      <c r="L25" s="4" t="s">
        <v>68</v>
      </c>
      <c r="M25" s="4" t="s">
        <v>69</v>
      </c>
      <c r="N25" s="31" t="s">
        <v>108</v>
      </c>
      <c r="P25" s="37" t="s">
        <v>111</v>
      </c>
      <c r="Q25" s="37" t="s">
        <v>106</v>
      </c>
    </row>
    <row r="26" spans="1:17" x14ac:dyDescent="0.25">
      <c r="B26" s="4" t="s">
        <v>72</v>
      </c>
      <c r="C26" s="4">
        <v>0.28999999999999998</v>
      </c>
      <c r="D26" s="4">
        <v>0</v>
      </c>
      <c r="G26" s="5"/>
      <c r="K26" s="4" t="s">
        <v>72</v>
      </c>
      <c r="L26" s="4">
        <v>0.3</v>
      </c>
      <c r="M26" s="4">
        <v>0</v>
      </c>
      <c r="P26" s="5"/>
    </row>
    <row r="27" spans="1:17" x14ac:dyDescent="0.25">
      <c r="B27" s="4" t="s">
        <v>73</v>
      </c>
      <c r="C27" s="4">
        <v>0.32</v>
      </c>
      <c r="D27" s="4">
        <v>0</v>
      </c>
      <c r="G27" s="5"/>
      <c r="K27" s="4" t="s">
        <v>73</v>
      </c>
      <c r="L27" s="4">
        <v>0.37</v>
      </c>
      <c r="M27" s="4">
        <v>0</v>
      </c>
      <c r="P27" s="5"/>
    </row>
    <row r="28" spans="1:17" x14ac:dyDescent="0.25">
      <c r="B28" s="4" t="s">
        <v>74</v>
      </c>
      <c r="C28" s="4">
        <v>0.85</v>
      </c>
      <c r="D28" s="4">
        <v>0</v>
      </c>
      <c r="G28" s="5"/>
      <c r="K28" s="4" t="s">
        <v>74</v>
      </c>
      <c r="L28" s="4">
        <v>0.77</v>
      </c>
      <c r="M28" s="4">
        <v>0</v>
      </c>
      <c r="P28" s="5"/>
    </row>
    <row r="29" spans="1:17" x14ac:dyDescent="0.25">
      <c r="B29" s="4" t="s">
        <v>75</v>
      </c>
      <c r="C29" s="4">
        <v>1.34</v>
      </c>
      <c r="D29" s="4">
        <v>0</v>
      </c>
      <c r="E29" s="4">
        <v>3</v>
      </c>
      <c r="G29" s="5"/>
      <c r="H29" s="5">
        <f>$D$7*(0.70917*(C29^0.82416)-0.11556)*(10^(0.02426*E29))</f>
        <v>0.85780088247042585</v>
      </c>
      <c r="K29" s="4" t="s">
        <v>75</v>
      </c>
      <c r="L29" s="4">
        <v>1.2</v>
      </c>
      <c r="M29" s="4">
        <v>0</v>
      </c>
      <c r="N29" s="4">
        <v>3</v>
      </c>
      <c r="P29" s="5"/>
      <c r="Q29" s="5">
        <f>$D$7*(0.70917*(L29^0.82416)-0.11556)*(10^(0.02426*N29))</f>
        <v>0.77228217491141049</v>
      </c>
    </row>
    <row r="30" spans="1:17" x14ac:dyDescent="0.25">
      <c r="B30" s="4" t="s">
        <v>76</v>
      </c>
      <c r="C30" s="4">
        <v>2.0699999999999998</v>
      </c>
      <c r="D30" s="4">
        <v>3</v>
      </c>
      <c r="E30" s="4">
        <v>7</v>
      </c>
      <c r="G30" s="5">
        <f t="shared" ref="G30:G34" si="3">$D$7*(0.70917*(C30^0.82416)-0.11556)*(10^(0.02426*D30))</f>
        <v>1.2818472018746052</v>
      </c>
      <c r="H30" s="5">
        <f t="shared" ref="H30" si="4">$D$7*(0.70917*(D30^0.82416)-0.11556)*(10^(0.02426*E30))</f>
        <v>2.232493605464521</v>
      </c>
      <c r="K30" s="4" t="s">
        <v>76</v>
      </c>
      <c r="L30" s="4">
        <v>1.79</v>
      </c>
      <c r="M30" s="4">
        <v>3</v>
      </c>
      <c r="N30" s="4">
        <v>7</v>
      </c>
      <c r="P30" s="5">
        <f t="shared" ref="P30:P34" si="5">$D$7*(0.70917*(L30^0.82416)-0.11556)*(10^(0.02426*M30))</f>
        <v>1.1229321819951212</v>
      </c>
      <c r="Q30" s="5">
        <f t="shared" ref="Q30" si="6">$D$7*(0.70917*(M30^0.82416)-0.11556)*(10^(0.02426*N30))</f>
        <v>2.232493605464521</v>
      </c>
    </row>
    <row r="31" spans="1:17" x14ac:dyDescent="0.25">
      <c r="B31" s="4" t="s">
        <v>77</v>
      </c>
      <c r="C31" s="4">
        <v>2.2200000000000002</v>
      </c>
      <c r="D31" s="4">
        <v>5</v>
      </c>
      <c r="E31" s="4">
        <v>5</v>
      </c>
      <c r="G31" s="5">
        <f t="shared" si="3"/>
        <v>1.5267944071429291</v>
      </c>
      <c r="H31" s="5">
        <f>$D$7*(0.70917*(D31^0.82416)-0.11556)*(10^(0.02426*E31))*0.5</f>
        <v>1.5576867656929663</v>
      </c>
      <c r="K31" s="4" t="s">
        <v>77</v>
      </c>
      <c r="L31" s="4">
        <v>1.38</v>
      </c>
      <c r="M31" s="4">
        <v>6</v>
      </c>
      <c r="N31" s="4">
        <v>5</v>
      </c>
      <c r="P31" s="5">
        <f t="shared" si="5"/>
        <v>1.0428433156512058</v>
      </c>
      <c r="Q31" s="5">
        <f>$D$7*(0.70917*(M31^0.82416)-0.11556)*(10^(0.02426*N31))*0.5</f>
        <v>1.8216655824602717</v>
      </c>
    </row>
    <row r="32" spans="1:17" x14ac:dyDescent="0.25">
      <c r="B32" s="4" t="s">
        <v>78</v>
      </c>
      <c r="C32" s="4">
        <v>2.92</v>
      </c>
      <c r="D32" s="4">
        <v>7</v>
      </c>
      <c r="G32" s="5">
        <f t="shared" si="3"/>
        <v>2.179843261406893</v>
      </c>
      <c r="K32" s="4" t="s">
        <v>78</v>
      </c>
      <c r="L32" s="4">
        <v>2.0499999999999998</v>
      </c>
      <c r="M32" s="4">
        <v>8</v>
      </c>
      <c r="P32" s="5">
        <f t="shared" si="5"/>
        <v>1.6800347270933182</v>
      </c>
    </row>
    <row r="33" spans="1:17" x14ac:dyDescent="0.25">
      <c r="B33" s="4" t="s">
        <v>79</v>
      </c>
      <c r="C33" s="4">
        <v>2.87</v>
      </c>
      <c r="D33" s="4">
        <v>7</v>
      </c>
      <c r="G33" s="5">
        <f t="shared" si="3"/>
        <v>2.1468081889204313</v>
      </c>
      <c r="K33" s="4" t="s">
        <v>79</v>
      </c>
      <c r="L33" s="4">
        <v>1.61</v>
      </c>
      <c r="M33" s="4">
        <v>8</v>
      </c>
      <c r="P33" s="5">
        <f t="shared" si="5"/>
        <v>1.346638230877645</v>
      </c>
    </row>
    <row r="34" spans="1:17" x14ac:dyDescent="0.25">
      <c r="B34" s="4" t="s">
        <v>80</v>
      </c>
      <c r="C34" s="4">
        <v>1.32</v>
      </c>
      <c r="D34" s="4">
        <v>3</v>
      </c>
      <c r="G34" s="5">
        <f t="shared" si="3"/>
        <v>0.84568393578306489</v>
      </c>
      <c r="K34" s="4" t="s">
        <v>80</v>
      </c>
      <c r="L34" s="4">
        <v>0.86</v>
      </c>
      <c r="M34" s="4">
        <v>3</v>
      </c>
      <c r="P34" s="5">
        <f t="shared" si="5"/>
        <v>0.55662027494108568</v>
      </c>
    </row>
    <row r="35" spans="1:17" x14ac:dyDescent="0.25">
      <c r="B35" s="4" t="s">
        <v>81</v>
      </c>
      <c r="C35" s="4">
        <v>0.77</v>
      </c>
      <c r="D35" s="4">
        <v>0</v>
      </c>
      <c r="G35" s="5"/>
      <c r="K35" s="4" t="s">
        <v>81</v>
      </c>
      <c r="L35" s="4">
        <v>0.73</v>
      </c>
      <c r="M35" s="4">
        <v>0</v>
      </c>
      <c r="P35" s="5"/>
    </row>
    <row r="36" spans="1:17" x14ac:dyDescent="0.25">
      <c r="B36" s="4" t="s">
        <v>82</v>
      </c>
      <c r="C36" s="4">
        <v>0.44</v>
      </c>
      <c r="D36" s="4">
        <v>0</v>
      </c>
      <c r="G36" s="5"/>
      <c r="K36" s="4" t="s">
        <v>82</v>
      </c>
      <c r="L36" s="4">
        <v>0.53</v>
      </c>
      <c r="M36" s="4">
        <v>0</v>
      </c>
      <c r="P36" s="5"/>
    </row>
    <row r="37" spans="1:17" x14ac:dyDescent="0.25">
      <c r="B37" s="4" t="s">
        <v>83</v>
      </c>
      <c r="C37" s="4">
        <v>0.32</v>
      </c>
      <c r="D37" s="4">
        <v>0</v>
      </c>
      <c r="G37" s="5"/>
      <c r="K37" s="4" t="s">
        <v>83</v>
      </c>
      <c r="L37" s="4">
        <v>0.31</v>
      </c>
      <c r="M37" s="4">
        <v>0</v>
      </c>
      <c r="P37" s="5"/>
    </row>
    <row r="38" spans="1:17" x14ac:dyDescent="0.25">
      <c r="B38" s="4" t="s">
        <v>84</v>
      </c>
      <c r="C38" s="6">
        <f>SUM(C26:C37)</f>
        <v>15.729999999999999</v>
      </c>
      <c r="F38" s="4" t="s">
        <v>84</v>
      </c>
      <c r="G38" s="7">
        <f>SUM(G26:G37)</f>
        <v>7.9809769951279232</v>
      </c>
      <c r="H38" s="7">
        <f>SUM(H26:H37)</f>
        <v>4.647981253627913</v>
      </c>
      <c r="K38" s="4" t="s">
        <v>84</v>
      </c>
      <c r="L38" s="7">
        <f>SUM(L26:L37)</f>
        <v>11.899999999999999</v>
      </c>
      <c r="O38" s="4" t="s">
        <v>84</v>
      </c>
      <c r="P38" s="7">
        <f>SUM(P26:P37)</f>
        <v>5.7490687305583759</v>
      </c>
      <c r="Q38" s="7">
        <f>SUM(Q26:Q37)</f>
        <v>4.8264413628362028</v>
      </c>
    </row>
    <row r="39" spans="1:17" x14ac:dyDescent="0.25">
      <c r="G39" s="5"/>
      <c r="O39" s="5"/>
    </row>
    <row r="40" spans="1:17" x14ac:dyDescent="0.25">
      <c r="G40" s="4" t="s">
        <v>70</v>
      </c>
      <c r="P40" s="4" t="s">
        <v>70</v>
      </c>
    </row>
    <row r="41" spans="1:17" x14ac:dyDescent="0.25">
      <c r="A41" s="4" t="s">
        <v>87</v>
      </c>
      <c r="C41" s="4" t="s">
        <v>68</v>
      </c>
      <c r="D41" s="4" t="s">
        <v>69</v>
      </c>
      <c r="E41" s="31" t="s">
        <v>108</v>
      </c>
      <c r="G41" s="37" t="s">
        <v>111</v>
      </c>
      <c r="H41" s="37" t="s">
        <v>106</v>
      </c>
      <c r="J41" s="4" t="s">
        <v>88</v>
      </c>
      <c r="L41" s="4" t="s">
        <v>68</v>
      </c>
      <c r="M41" s="4" t="s">
        <v>69</v>
      </c>
      <c r="N41" s="31" t="s">
        <v>108</v>
      </c>
      <c r="P41" s="37" t="s">
        <v>111</v>
      </c>
      <c r="Q41" s="37" t="s">
        <v>106</v>
      </c>
    </row>
    <row r="42" spans="1:17" x14ac:dyDescent="0.25">
      <c r="B42" s="4" t="s">
        <v>72</v>
      </c>
      <c r="C42" s="4">
        <v>0.4</v>
      </c>
      <c r="D42" s="4">
        <v>0</v>
      </c>
      <c r="G42" s="5"/>
      <c r="K42" s="4" t="s">
        <v>72</v>
      </c>
      <c r="L42" s="4">
        <v>0.46</v>
      </c>
      <c r="M42" s="4">
        <v>0</v>
      </c>
      <c r="P42" s="5"/>
    </row>
    <row r="43" spans="1:17" x14ac:dyDescent="0.25">
      <c r="B43" s="4" t="s">
        <v>73</v>
      </c>
      <c r="C43" s="4">
        <v>0.47</v>
      </c>
      <c r="D43" s="4">
        <v>0</v>
      </c>
      <c r="G43" s="5"/>
      <c r="K43" s="4" t="s">
        <v>73</v>
      </c>
      <c r="L43" s="4">
        <v>0.64</v>
      </c>
      <c r="M43" s="4">
        <v>0</v>
      </c>
      <c r="P43" s="5"/>
    </row>
    <row r="44" spans="1:17" x14ac:dyDescent="0.25">
      <c r="B44" s="4" t="s">
        <v>74</v>
      </c>
      <c r="C44" s="4">
        <v>1.1000000000000001</v>
      </c>
      <c r="D44" s="4">
        <v>0</v>
      </c>
      <c r="G44" s="5"/>
      <c r="K44" s="4" t="s">
        <v>74</v>
      </c>
      <c r="L44" s="4">
        <v>1.03</v>
      </c>
      <c r="M44" s="4">
        <v>0</v>
      </c>
      <c r="P44" s="5"/>
    </row>
    <row r="45" spans="1:17" x14ac:dyDescent="0.25">
      <c r="B45" s="4" t="s">
        <v>75</v>
      </c>
      <c r="C45" s="4">
        <v>1.36</v>
      </c>
      <c r="D45" s="4">
        <v>0</v>
      </c>
      <c r="E45" s="4">
        <v>3</v>
      </c>
      <c r="G45" s="5"/>
      <c r="H45" s="5">
        <f>$D$7*(0.70917*(C45^0.82416)-0.11556)*(10^(0.02426*E45))</f>
        <v>0.86988606891480247</v>
      </c>
      <c r="K45" s="4" t="s">
        <v>75</v>
      </c>
      <c r="L45" s="4">
        <v>1.49</v>
      </c>
      <c r="M45" s="4">
        <v>0</v>
      </c>
      <c r="N45" s="4">
        <v>3</v>
      </c>
      <c r="P45" s="5"/>
      <c r="Q45" s="5">
        <f>$D$7*(0.70917*(L45^0.82416)-0.11556)*(10^(0.02426*N45))</f>
        <v>0.94770193117097656</v>
      </c>
    </row>
    <row r="46" spans="1:17" x14ac:dyDescent="0.25">
      <c r="B46" s="4" t="s">
        <v>76</v>
      </c>
      <c r="C46" s="4">
        <v>2.42</v>
      </c>
      <c r="D46" s="4">
        <v>3</v>
      </c>
      <c r="E46" s="4">
        <v>7</v>
      </c>
      <c r="G46" s="5">
        <f t="shared" ref="G46:G50" si="7">$D$7*(0.70917*(C46^0.82416)-0.11556)*(10^(0.02426*D46))</f>
        <v>1.4752851645156082</v>
      </c>
      <c r="H46" s="5">
        <f t="shared" ref="H46" si="8">$D$7*(0.70917*(D46^0.82416)-0.11556)*(10^(0.02426*E46))</f>
        <v>2.232493605464521</v>
      </c>
      <c r="K46" s="4" t="s">
        <v>76</v>
      </c>
      <c r="L46" s="4">
        <v>1.88</v>
      </c>
      <c r="M46" s="4">
        <v>4</v>
      </c>
      <c r="N46" s="4">
        <v>7</v>
      </c>
      <c r="P46" s="5">
        <f t="shared" ref="P46:P50" si="9">$D$7*(0.70917*(L46^0.82416)-0.11556)*(10^(0.02426*M46))</f>
        <v>1.2419322292216184</v>
      </c>
      <c r="Q46" s="5">
        <f t="shared" ref="Q46" si="10">$D$7*(0.70917*(M46^0.82416)-0.11556)*(10^(0.02426*N46))</f>
        <v>2.8719618672860108</v>
      </c>
    </row>
    <row r="47" spans="1:17" x14ac:dyDescent="0.25">
      <c r="B47" s="4" t="s">
        <v>77</v>
      </c>
      <c r="C47" s="4">
        <v>2.17</v>
      </c>
      <c r="D47" s="4">
        <v>6</v>
      </c>
      <c r="E47" s="4">
        <v>5</v>
      </c>
      <c r="G47" s="5">
        <f t="shared" si="7"/>
        <v>1.5817107937693484</v>
      </c>
      <c r="H47" s="5">
        <f>$D$7*(0.70917*(D47^0.82416)-0.11556)*(10^(0.02426*E47))*0.5</f>
        <v>1.8216655824602717</v>
      </c>
      <c r="K47" s="4" t="s">
        <v>77</v>
      </c>
      <c r="L47" s="4">
        <v>1.57</v>
      </c>
      <c r="M47" s="4">
        <v>6</v>
      </c>
      <c r="N47" s="4">
        <v>5</v>
      </c>
      <c r="P47" s="5">
        <f t="shared" si="9"/>
        <v>1.1765200434632039</v>
      </c>
      <c r="Q47" s="5">
        <f>$D$7*(0.70917*(M47^0.82416)-0.11556)*(10^(0.02426*N47))*0.5</f>
        <v>1.8216655824602717</v>
      </c>
    </row>
    <row r="48" spans="1:17" x14ac:dyDescent="0.25">
      <c r="B48" s="4" t="s">
        <v>78</v>
      </c>
      <c r="C48" s="4">
        <v>2.4500000000000002</v>
      </c>
      <c r="D48" s="4">
        <v>8</v>
      </c>
      <c r="G48" s="5">
        <f t="shared" si="7"/>
        <v>1.9722421211628325</v>
      </c>
      <c r="K48" s="4" t="s">
        <v>78</v>
      </c>
      <c r="L48" s="4">
        <v>2.4700000000000002</v>
      </c>
      <c r="M48" s="4">
        <v>8</v>
      </c>
      <c r="P48" s="5">
        <f t="shared" si="9"/>
        <v>1.9866211197692558</v>
      </c>
    </row>
    <row r="49" spans="1:17" x14ac:dyDescent="0.25">
      <c r="B49" s="4" t="s">
        <v>79</v>
      </c>
      <c r="C49" s="4">
        <v>1.82</v>
      </c>
      <c r="D49" s="4">
        <v>8</v>
      </c>
      <c r="G49" s="5">
        <f t="shared" si="7"/>
        <v>1.5075259468855142</v>
      </c>
      <c r="K49" s="4" t="s">
        <v>79</v>
      </c>
      <c r="L49" s="4">
        <v>2.29</v>
      </c>
      <c r="M49" s="4">
        <v>8</v>
      </c>
      <c r="P49" s="5">
        <f t="shared" si="9"/>
        <v>1.8564492773708412</v>
      </c>
    </row>
    <row r="50" spans="1:17" x14ac:dyDescent="0.25">
      <c r="B50" s="4" t="s">
        <v>80</v>
      </c>
      <c r="C50" s="4">
        <v>1.26</v>
      </c>
      <c r="D50" s="4">
        <v>3</v>
      </c>
      <c r="G50" s="5">
        <f t="shared" si="7"/>
        <v>0.80913677203848289</v>
      </c>
      <c r="K50" s="4" t="s">
        <v>80</v>
      </c>
      <c r="L50" s="4">
        <v>1.27</v>
      </c>
      <c r="M50" s="4">
        <v>4</v>
      </c>
      <c r="P50" s="5">
        <f t="shared" si="9"/>
        <v>0.86208521362909796</v>
      </c>
    </row>
    <row r="51" spans="1:17" x14ac:dyDescent="0.25">
      <c r="B51" s="4" t="s">
        <v>81</v>
      </c>
      <c r="C51" s="4">
        <v>0.95</v>
      </c>
      <c r="D51" s="4">
        <v>0</v>
      </c>
      <c r="G51" s="5"/>
      <c r="K51" s="4" t="s">
        <v>81</v>
      </c>
      <c r="L51" s="4">
        <v>1.1100000000000001</v>
      </c>
      <c r="M51" s="4">
        <v>0</v>
      </c>
      <c r="P51" s="5"/>
    </row>
    <row r="52" spans="1:17" x14ac:dyDescent="0.25">
      <c r="B52" s="4" t="s">
        <v>82</v>
      </c>
      <c r="C52" s="4">
        <v>0.7</v>
      </c>
      <c r="D52" s="4">
        <v>0</v>
      </c>
      <c r="G52" s="5"/>
      <c r="K52" s="4" t="s">
        <v>82</v>
      </c>
      <c r="L52" s="4">
        <v>0.75</v>
      </c>
      <c r="M52" s="4">
        <v>0</v>
      </c>
      <c r="P52" s="5"/>
    </row>
    <row r="53" spans="1:17" x14ac:dyDescent="0.25">
      <c r="B53" s="4" t="s">
        <v>83</v>
      </c>
      <c r="C53" s="4">
        <v>0.43</v>
      </c>
      <c r="D53" s="4">
        <v>0</v>
      </c>
      <c r="G53" s="5"/>
      <c r="K53" s="4" t="s">
        <v>83</v>
      </c>
      <c r="L53" s="4">
        <v>0.6</v>
      </c>
      <c r="M53" s="4">
        <v>0</v>
      </c>
      <c r="P53" s="5"/>
    </row>
    <row r="54" spans="1:17" x14ac:dyDescent="0.25">
      <c r="B54" s="4" t="s">
        <v>84</v>
      </c>
      <c r="C54" s="6">
        <f>SUM(C42:C53)</f>
        <v>15.53</v>
      </c>
      <c r="F54" s="4" t="s">
        <v>84</v>
      </c>
      <c r="G54" s="7">
        <f>SUM(G42:G53)</f>
        <v>7.3459007983717859</v>
      </c>
      <c r="H54" s="7">
        <f>SUM(H42:H53)</f>
        <v>4.9240452568395954</v>
      </c>
      <c r="K54" s="4" t="s">
        <v>84</v>
      </c>
      <c r="L54" s="7">
        <f>SUM(L42:L53)</f>
        <v>15.56</v>
      </c>
      <c r="O54" s="4" t="s">
        <v>84</v>
      </c>
      <c r="P54" s="7">
        <f>SUM(P42:P53)</f>
        <v>7.1236078834540173</v>
      </c>
      <c r="Q54" s="7">
        <f>SUM(Q42:Q53)</f>
        <v>5.6413293809172593</v>
      </c>
    </row>
    <row r="55" spans="1:17" x14ac:dyDescent="0.25">
      <c r="G55" s="5"/>
      <c r="O55" s="5"/>
    </row>
    <row r="56" spans="1:17" x14ac:dyDescent="0.25">
      <c r="G56" s="4" t="s">
        <v>70</v>
      </c>
      <c r="P56" s="4" t="s">
        <v>70</v>
      </c>
    </row>
    <row r="57" spans="1:17" x14ac:dyDescent="0.25">
      <c r="A57" s="4" t="s">
        <v>89</v>
      </c>
      <c r="C57" s="4" t="s">
        <v>68</v>
      </c>
      <c r="D57" s="4" t="s">
        <v>69</v>
      </c>
      <c r="E57" s="31" t="s">
        <v>108</v>
      </c>
      <c r="G57" s="37" t="s">
        <v>111</v>
      </c>
      <c r="H57" s="37" t="s">
        <v>106</v>
      </c>
      <c r="J57" s="4" t="s">
        <v>90</v>
      </c>
      <c r="L57" s="4" t="s">
        <v>68</v>
      </c>
      <c r="M57" s="4" t="s">
        <v>69</v>
      </c>
      <c r="N57" s="31" t="s">
        <v>108</v>
      </c>
      <c r="P57" s="37" t="s">
        <v>111</v>
      </c>
      <c r="Q57" s="37" t="s">
        <v>106</v>
      </c>
    </row>
    <row r="58" spans="1:17" x14ac:dyDescent="0.25">
      <c r="B58" s="4" t="s">
        <v>72</v>
      </c>
      <c r="C58" s="4">
        <v>0.66</v>
      </c>
      <c r="D58" s="4">
        <v>0</v>
      </c>
      <c r="G58" s="5"/>
      <c r="K58" s="4" t="s">
        <v>72</v>
      </c>
      <c r="L58" s="4">
        <v>0.31</v>
      </c>
      <c r="M58" s="4">
        <v>0</v>
      </c>
      <c r="P58" s="5"/>
    </row>
    <row r="59" spans="1:17" x14ac:dyDescent="0.25">
      <c r="B59" s="4" t="s">
        <v>73</v>
      </c>
      <c r="C59" s="4">
        <v>0.83</v>
      </c>
      <c r="D59" s="4">
        <v>0</v>
      </c>
      <c r="G59" s="5"/>
      <c r="K59" s="4" t="s">
        <v>73</v>
      </c>
      <c r="L59" s="4">
        <v>0.35</v>
      </c>
      <c r="M59" s="4">
        <v>0</v>
      </c>
      <c r="P59" s="5"/>
    </row>
    <row r="60" spans="1:17" x14ac:dyDescent="0.25">
      <c r="B60" s="4" t="s">
        <v>74</v>
      </c>
      <c r="C60" s="4">
        <v>1.56</v>
      </c>
      <c r="D60" s="4">
        <v>0</v>
      </c>
      <c r="G60" s="5"/>
      <c r="K60" s="4" t="s">
        <v>74</v>
      </c>
      <c r="L60" s="4">
        <v>1.02</v>
      </c>
      <c r="M60" s="4">
        <v>0</v>
      </c>
      <c r="P60" s="5"/>
    </row>
    <row r="61" spans="1:17" x14ac:dyDescent="0.25">
      <c r="B61" s="4" t="s">
        <v>75</v>
      </c>
      <c r="C61" s="4">
        <v>1.92</v>
      </c>
      <c r="D61" s="4">
        <v>0</v>
      </c>
      <c r="E61" s="4">
        <v>3</v>
      </c>
      <c r="G61" s="5"/>
      <c r="H61" s="5">
        <f>$D$7*(0.70917*(C61^0.82416)-0.11556)*(10^(0.02426*E61))</f>
        <v>1.1972198232772009</v>
      </c>
      <c r="K61" s="4" t="s">
        <v>75</v>
      </c>
      <c r="L61" s="4">
        <v>1.57</v>
      </c>
      <c r="M61" s="4">
        <v>0</v>
      </c>
      <c r="N61" s="4">
        <v>3</v>
      </c>
      <c r="P61" s="5"/>
      <c r="Q61" s="5">
        <f>$D$7*(0.70917*(L61^0.82416)-0.11556)*(10^(0.02426*N61))</f>
        <v>0.99499140752894244</v>
      </c>
    </row>
    <row r="62" spans="1:17" x14ac:dyDescent="0.25">
      <c r="B62" s="4" t="s">
        <v>76</v>
      </c>
      <c r="C62" s="4">
        <v>1.94</v>
      </c>
      <c r="D62" s="4">
        <v>3</v>
      </c>
      <c r="E62" s="4">
        <v>7</v>
      </c>
      <c r="G62" s="5">
        <f t="shared" ref="G62:G66" si="11">$D$7*(0.70917*(C62^0.82416)-0.11556)*(10^(0.02426*D62))</f>
        <v>1.2085688450217256</v>
      </c>
      <c r="H62" s="5">
        <f t="shared" ref="H62" si="12">$D$7*(0.70917*(D62^0.82416)-0.11556)*(10^(0.02426*E62))</f>
        <v>2.232493605464521</v>
      </c>
      <c r="K62" s="4" t="s">
        <v>76</v>
      </c>
      <c r="L62" s="4">
        <v>3.15</v>
      </c>
      <c r="M62" s="4">
        <v>3</v>
      </c>
      <c r="N62" s="4">
        <v>7</v>
      </c>
      <c r="P62" s="5">
        <f t="shared" ref="P62:P66" si="13">$D$7*(0.70917*(L62^0.82416)-0.11556)*(10^(0.02426*M62))</f>
        <v>1.8638860152348127</v>
      </c>
      <c r="Q62" s="5">
        <f t="shared" ref="Q62" si="14">$D$7*(0.70917*(M62^0.82416)-0.11556)*(10^(0.02426*N62))</f>
        <v>2.232493605464521</v>
      </c>
    </row>
    <row r="63" spans="1:17" x14ac:dyDescent="0.25">
      <c r="B63" s="4" t="s">
        <v>77</v>
      </c>
      <c r="C63" s="4">
        <v>1.23</v>
      </c>
      <c r="D63" s="4">
        <v>5</v>
      </c>
      <c r="E63" s="4">
        <v>5</v>
      </c>
      <c r="G63" s="5">
        <f t="shared" si="11"/>
        <v>0.88421656654985425</v>
      </c>
      <c r="H63" s="5">
        <f>$D$7*(0.70917*(D63^0.82416)-0.11556)*(10^(0.02426*E63))*0.5</f>
        <v>1.5576867656929663</v>
      </c>
      <c r="K63" s="4" t="s">
        <v>77</v>
      </c>
      <c r="L63" s="4">
        <v>2.3199999999999998</v>
      </c>
      <c r="M63" s="4">
        <v>6</v>
      </c>
      <c r="N63" s="4">
        <v>5</v>
      </c>
      <c r="P63" s="5">
        <f t="shared" si="13"/>
        <v>1.6797208218630153</v>
      </c>
      <c r="Q63" s="5">
        <f>$D$7*(0.70917*(M63^0.82416)-0.11556)*(10^(0.02426*N63))*0.5</f>
        <v>1.8216655824602717</v>
      </c>
    </row>
    <row r="64" spans="1:17" x14ac:dyDescent="0.25">
      <c r="B64" s="4" t="s">
        <v>78</v>
      </c>
      <c r="C64" s="4">
        <v>1.98</v>
      </c>
      <c r="D64" s="4">
        <v>8</v>
      </c>
      <c r="G64" s="5">
        <f t="shared" si="11"/>
        <v>1.6279105443457129</v>
      </c>
      <c r="K64" s="4" t="s">
        <v>78</v>
      </c>
      <c r="L64" s="4">
        <v>2.91</v>
      </c>
      <c r="M64" s="4">
        <v>8</v>
      </c>
      <c r="P64" s="5">
        <f t="shared" si="13"/>
        <v>2.2980979778978008</v>
      </c>
    </row>
    <row r="65" spans="1:17" x14ac:dyDescent="0.25">
      <c r="B65" s="4" t="s">
        <v>79</v>
      </c>
      <c r="C65" s="4">
        <v>1.93</v>
      </c>
      <c r="D65" s="4">
        <v>8</v>
      </c>
      <c r="G65" s="5">
        <f t="shared" si="11"/>
        <v>1.5904807334414468</v>
      </c>
      <c r="K65" s="4" t="s">
        <v>79</v>
      </c>
      <c r="L65" s="4">
        <v>2.0099999999999998</v>
      </c>
      <c r="M65" s="4">
        <v>8</v>
      </c>
      <c r="P65" s="5">
        <f t="shared" si="13"/>
        <v>1.6502885082569905</v>
      </c>
    </row>
    <row r="66" spans="1:17" x14ac:dyDescent="0.25">
      <c r="B66" s="4" t="s">
        <v>80</v>
      </c>
      <c r="C66" s="4">
        <v>0.95</v>
      </c>
      <c r="D66" s="4">
        <v>3</v>
      </c>
      <c r="G66" s="5">
        <f t="shared" si="11"/>
        <v>0.61497054674171114</v>
      </c>
      <c r="K66" s="4" t="s">
        <v>80</v>
      </c>
      <c r="L66" s="4">
        <v>0.91</v>
      </c>
      <c r="M66" s="4">
        <v>3</v>
      </c>
      <c r="P66" s="5">
        <f t="shared" si="13"/>
        <v>0.58916284684083897</v>
      </c>
    </row>
    <row r="67" spans="1:17" x14ac:dyDescent="0.25">
      <c r="B67" s="4" t="s">
        <v>81</v>
      </c>
      <c r="C67" s="4">
        <v>1.0900000000000001</v>
      </c>
      <c r="D67" s="4">
        <v>0</v>
      </c>
      <c r="G67" s="5"/>
      <c r="K67" s="4" t="s">
        <v>81</v>
      </c>
      <c r="L67" s="4">
        <v>0.91</v>
      </c>
      <c r="M67" s="4">
        <v>0</v>
      </c>
      <c r="P67" s="5"/>
    </row>
    <row r="68" spans="1:17" x14ac:dyDescent="0.25">
      <c r="B68" s="4" t="s">
        <v>82</v>
      </c>
      <c r="C68" s="4">
        <v>0.98</v>
      </c>
      <c r="D68" s="4">
        <v>0</v>
      </c>
      <c r="G68" s="5"/>
      <c r="K68" s="4" t="s">
        <v>82</v>
      </c>
      <c r="L68" s="4">
        <v>0.71</v>
      </c>
      <c r="M68" s="4">
        <v>0</v>
      </c>
      <c r="P68" s="5"/>
    </row>
    <row r="69" spans="1:17" x14ac:dyDescent="0.25">
      <c r="B69" s="4" t="s">
        <v>83</v>
      </c>
      <c r="C69" s="4">
        <v>0.81</v>
      </c>
      <c r="D69" s="4">
        <v>0</v>
      </c>
      <c r="G69" s="5"/>
      <c r="K69" s="4" t="s">
        <v>83</v>
      </c>
      <c r="L69" s="4">
        <v>0.39</v>
      </c>
      <c r="M69" s="4">
        <v>0</v>
      </c>
      <c r="P69" s="5"/>
    </row>
    <row r="70" spans="1:17" x14ac:dyDescent="0.25">
      <c r="B70" s="4" t="s">
        <v>84</v>
      </c>
      <c r="C70" s="6">
        <f>SUM(C58:C69)</f>
        <v>15.88</v>
      </c>
      <c r="F70" s="4" t="s">
        <v>84</v>
      </c>
      <c r="G70" s="7">
        <f>SUM(G58:G69)</f>
        <v>5.9261472361004506</v>
      </c>
      <c r="H70" s="7">
        <f>SUM(H58:H69)</f>
        <v>4.987400194434688</v>
      </c>
      <c r="K70" s="4" t="s">
        <v>84</v>
      </c>
      <c r="L70" s="7">
        <f>SUM(L58:L69)</f>
        <v>16.560000000000002</v>
      </c>
      <c r="O70" s="4" t="s">
        <v>84</v>
      </c>
      <c r="P70" s="7">
        <f>SUM(P58:P69)</f>
        <v>8.0811561700934575</v>
      </c>
      <c r="Q70" s="7">
        <f>SUM(Q58:Q69)</f>
        <v>5.0491505954537352</v>
      </c>
    </row>
    <row r="72" spans="1:17" x14ac:dyDescent="0.25">
      <c r="G72" s="4" t="s">
        <v>70</v>
      </c>
    </row>
    <row r="73" spans="1:17" x14ac:dyDescent="0.25">
      <c r="A73" s="4" t="s">
        <v>91</v>
      </c>
      <c r="C73" s="4" t="s">
        <v>68</v>
      </c>
      <c r="D73" s="4" t="s">
        <v>69</v>
      </c>
      <c r="E73" s="31" t="s">
        <v>108</v>
      </c>
      <c r="G73" s="37" t="s">
        <v>111</v>
      </c>
      <c r="H73" s="37" t="s">
        <v>106</v>
      </c>
    </row>
    <row r="74" spans="1:17" x14ac:dyDescent="0.25">
      <c r="B74" s="4" t="s">
        <v>72</v>
      </c>
      <c r="C74" s="4">
        <v>0.47</v>
      </c>
      <c r="D74" s="4">
        <v>0</v>
      </c>
      <c r="G74" s="5"/>
    </row>
    <row r="75" spans="1:17" x14ac:dyDescent="0.25">
      <c r="B75" s="4" t="s">
        <v>73</v>
      </c>
      <c r="C75" s="4">
        <v>0.47</v>
      </c>
      <c r="D75" s="4">
        <v>0</v>
      </c>
      <c r="G75" s="5"/>
    </row>
    <row r="76" spans="1:17" x14ac:dyDescent="0.25">
      <c r="B76" s="4" t="s">
        <v>74</v>
      </c>
      <c r="C76" s="4">
        <v>0.98</v>
      </c>
      <c r="D76" s="4">
        <v>0</v>
      </c>
      <c r="G76" s="5"/>
    </row>
    <row r="77" spans="1:17" x14ac:dyDescent="0.25">
      <c r="B77" s="4" t="s">
        <v>75</v>
      </c>
      <c r="C77" s="4">
        <v>1.81</v>
      </c>
      <c r="D77" s="4">
        <v>0</v>
      </c>
      <c r="E77" s="4">
        <v>3</v>
      </c>
      <c r="G77" s="5"/>
      <c r="H77" s="5">
        <f>$D$7*(0.70917*(C77^0.82416)-0.11556)*(10^(0.02426*E77))</f>
        <v>1.1344212227012442</v>
      </c>
    </row>
    <row r="78" spans="1:17" x14ac:dyDescent="0.25">
      <c r="B78" s="4" t="s">
        <v>76</v>
      </c>
      <c r="C78" s="4">
        <v>2.87</v>
      </c>
      <c r="D78" s="4">
        <v>3</v>
      </c>
      <c r="E78" s="4">
        <v>7</v>
      </c>
      <c r="G78" s="5">
        <f t="shared" ref="G78:G82" si="15">$D$7*(0.70917*(C78^0.82416)-0.11556)*(10^(0.02426*D78))</f>
        <v>1.7169325858104256</v>
      </c>
      <c r="H78" s="5">
        <f t="shared" ref="H78" si="16">$D$7*(0.70917*(D78^0.82416)-0.11556)*(10^(0.02426*E78))</f>
        <v>2.232493605464521</v>
      </c>
    </row>
    <row r="79" spans="1:17" x14ac:dyDescent="0.25">
      <c r="B79" s="4" t="s">
        <v>77</v>
      </c>
      <c r="C79" s="4">
        <v>2.44</v>
      </c>
      <c r="D79" s="4">
        <v>6</v>
      </c>
      <c r="E79" s="4">
        <v>5</v>
      </c>
      <c r="G79" s="5">
        <f t="shared" si="15"/>
        <v>1.7573265709456134</v>
      </c>
      <c r="H79" s="5">
        <f>$D$7*(0.70917*(D79^0.82416)-0.11556)*(10^(0.02426*E79))*0.5</f>
        <v>1.8216655824602717</v>
      </c>
    </row>
    <row r="80" spans="1:17" x14ac:dyDescent="0.25">
      <c r="B80" s="4" t="s">
        <v>78</v>
      </c>
      <c r="C80" s="4">
        <v>3.07</v>
      </c>
      <c r="D80" s="4">
        <v>8</v>
      </c>
      <c r="G80" s="5">
        <f t="shared" si="15"/>
        <v>2.4092530039846016</v>
      </c>
    </row>
    <row r="81" spans="2:8" x14ac:dyDescent="0.25">
      <c r="B81" s="4" t="s">
        <v>79</v>
      </c>
      <c r="C81" s="4">
        <v>2.48</v>
      </c>
      <c r="D81" s="4">
        <v>8</v>
      </c>
      <c r="G81" s="5">
        <f t="shared" si="15"/>
        <v>1.9938029349593998</v>
      </c>
    </row>
    <row r="82" spans="2:8" x14ac:dyDescent="0.25">
      <c r="B82" s="4" t="s">
        <v>80</v>
      </c>
      <c r="C82" s="4">
        <v>1.22</v>
      </c>
      <c r="D82" s="4">
        <v>3</v>
      </c>
      <c r="G82" s="5">
        <f t="shared" si="15"/>
        <v>0.78460228152987288</v>
      </c>
    </row>
    <row r="83" spans="2:8" x14ac:dyDescent="0.25">
      <c r="B83" s="4" t="s">
        <v>81</v>
      </c>
      <c r="C83" s="4">
        <v>1.38</v>
      </c>
      <c r="D83" s="4">
        <v>0</v>
      </c>
      <c r="G83" s="5"/>
    </row>
    <row r="84" spans="2:8" x14ac:dyDescent="0.25">
      <c r="B84" s="4" t="s">
        <v>82</v>
      </c>
      <c r="C84" s="4">
        <v>0.71</v>
      </c>
      <c r="D84" s="4">
        <v>0</v>
      </c>
      <c r="G84" s="5"/>
    </row>
    <row r="85" spans="2:8" x14ac:dyDescent="0.25">
      <c r="B85" s="4" t="s">
        <v>83</v>
      </c>
      <c r="C85" s="4">
        <v>0.35</v>
      </c>
      <c r="D85" s="4">
        <v>0</v>
      </c>
      <c r="G85" s="5"/>
    </row>
    <row r="86" spans="2:8" x14ac:dyDescent="0.25">
      <c r="B86" s="4" t="s">
        <v>84</v>
      </c>
      <c r="C86" s="7">
        <f>SUM(C74:C85)</f>
        <v>18.250000000000004</v>
      </c>
      <c r="F86" s="4" t="s">
        <v>84</v>
      </c>
      <c r="G86" s="7">
        <f>SUM(G74:G85)</f>
        <v>8.6619173772299138</v>
      </c>
      <c r="H86" s="7">
        <f>SUM(H74:H85)</f>
        <v>5.1885804106260371</v>
      </c>
    </row>
  </sheetData>
  <sheetProtection algorithmName="SHA-512" hashValue="w3J7CskKdN9+ccxnRN4zLx1XmZedMzor5QuXNY+4JNYcNUFXL2mNbsftZ1HAMZ+Lk56L0fQXZNZvsm2MqZtuVw==" saltValue="jCB/cdU1pM1BdYxSU6XUz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J1" sqref="J1:J4"/>
    </sheetView>
  </sheetViews>
  <sheetFormatPr defaultRowHeight="12.75" x14ac:dyDescent="0.2"/>
  <cols>
    <col min="3" max="3" width="16" bestFit="1" customWidth="1"/>
    <col min="9" max="9" width="23.7109375" bestFit="1" customWidth="1"/>
  </cols>
  <sheetData>
    <row r="1" spans="1:10" x14ac:dyDescent="0.2">
      <c r="A1" t="s">
        <v>21</v>
      </c>
      <c r="C1" s="27" t="s">
        <v>94</v>
      </c>
      <c r="D1" s="29">
        <v>0.7</v>
      </c>
      <c r="F1" s="2">
        <v>1</v>
      </c>
      <c r="I1" s="1" t="s">
        <v>33</v>
      </c>
      <c r="J1" s="2">
        <v>0.8</v>
      </c>
    </row>
    <row r="2" spans="1:10" x14ac:dyDescent="0.2">
      <c r="A2" t="s">
        <v>22</v>
      </c>
      <c r="C2" s="27" t="s">
        <v>95</v>
      </c>
      <c r="D2" s="29">
        <v>0.9</v>
      </c>
      <c r="F2" s="2">
        <v>0.9</v>
      </c>
      <c r="I2" s="1" t="s">
        <v>34</v>
      </c>
      <c r="J2" s="2">
        <v>0.85</v>
      </c>
    </row>
    <row r="3" spans="1:10" x14ac:dyDescent="0.2">
      <c r="A3" t="s">
        <v>23</v>
      </c>
      <c r="C3" s="27" t="s">
        <v>96</v>
      </c>
      <c r="D3" s="29">
        <v>1</v>
      </c>
      <c r="F3" s="2">
        <v>0.8</v>
      </c>
      <c r="I3" s="1" t="s">
        <v>31</v>
      </c>
      <c r="J3" s="2">
        <v>0.9</v>
      </c>
    </row>
    <row r="4" spans="1:10" x14ac:dyDescent="0.2">
      <c r="A4" s="3" t="s">
        <v>52</v>
      </c>
      <c r="C4" s="27" t="s">
        <v>97</v>
      </c>
      <c r="D4" s="29">
        <v>1.35</v>
      </c>
      <c r="F4" s="2">
        <v>0.7</v>
      </c>
      <c r="I4" s="1" t="s">
        <v>32</v>
      </c>
      <c r="J4" s="2">
        <v>0.5</v>
      </c>
    </row>
    <row r="5" spans="1:10" x14ac:dyDescent="0.2">
      <c r="C5" s="27" t="s">
        <v>98</v>
      </c>
      <c r="D5" s="29">
        <v>1.75</v>
      </c>
      <c r="F5" s="2">
        <v>0.6</v>
      </c>
    </row>
    <row r="6" spans="1:10" x14ac:dyDescent="0.2">
      <c r="C6" s="27" t="s">
        <v>99</v>
      </c>
      <c r="D6" s="29">
        <v>1.85</v>
      </c>
      <c r="F6" s="2" t="s">
        <v>28</v>
      </c>
    </row>
    <row r="7" spans="1:10" x14ac:dyDescent="0.2">
      <c r="C7" s="27" t="s">
        <v>100</v>
      </c>
      <c r="D7" s="29">
        <v>2.35</v>
      </c>
    </row>
    <row r="8" spans="1:10" x14ac:dyDescent="0.2">
      <c r="C8" s="27" t="s">
        <v>101</v>
      </c>
      <c r="D8" s="29">
        <v>2.25</v>
      </c>
    </row>
    <row r="9" spans="1:10" x14ac:dyDescent="0.2">
      <c r="C9" s="27" t="s">
        <v>102</v>
      </c>
      <c r="D9" s="29">
        <v>1.8</v>
      </c>
    </row>
    <row r="10" spans="1:10" x14ac:dyDescent="0.2">
      <c r="C10" s="27" t="s">
        <v>103</v>
      </c>
      <c r="D10" s="29">
        <v>1.8</v>
      </c>
    </row>
    <row r="11" spans="1:10" x14ac:dyDescent="0.2">
      <c r="C11" s="27" t="s">
        <v>104</v>
      </c>
      <c r="D11" s="29">
        <v>1.6</v>
      </c>
    </row>
    <row r="12" spans="1:10" x14ac:dyDescent="0.2">
      <c r="C12" s="28" t="s">
        <v>105</v>
      </c>
      <c r="D12" s="30">
        <v>1.4</v>
      </c>
    </row>
  </sheetData>
  <sheetProtection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topLeftCell="A4" workbookViewId="0">
      <selection activeCell="D27" sqref="D27"/>
    </sheetView>
  </sheetViews>
  <sheetFormatPr defaultRowHeight="12.75" x14ac:dyDescent="0.2"/>
  <cols>
    <col min="1" max="1" width="35.140625" style="40" customWidth="1"/>
    <col min="2" max="2" width="12.28515625" bestFit="1" customWidth="1"/>
    <col min="3" max="5" width="12.140625" bestFit="1" customWidth="1"/>
    <col min="6" max="8" width="12.28515625" bestFit="1" customWidth="1"/>
    <col min="9" max="9" width="12.140625" bestFit="1" customWidth="1"/>
    <col min="10" max="12" width="12.28515625" bestFit="1" customWidth="1"/>
    <col min="13" max="14" width="12.140625" bestFit="1" customWidth="1"/>
  </cols>
  <sheetData>
    <row r="1" spans="1:14" x14ac:dyDescent="0.2">
      <c r="B1" t="s">
        <v>112</v>
      </c>
      <c r="C1" t="s">
        <v>113</v>
      </c>
      <c r="D1" t="s">
        <v>114</v>
      </c>
      <c r="E1" t="s">
        <v>115</v>
      </c>
      <c r="F1" t="s">
        <v>116</v>
      </c>
      <c r="G1" t="s">
        <v>117</v>
      </c>
      <c r="H1" t="s">
        <v>118</v>
      </c>
      <c r="I1" t="s">
        <v>119</v>
      </c>
      <c r="J1" t="s">
        <v>120</v>
      </c>
      <c r="K1" t="s">
        <v>121</v>
      </c>
      <c r="L1" t="s">
        <v>67</v>
      </c>
      <c r="M1" t="s">
        <v>122</v>
      </c>
      <c r="N1" t="s">
        <v>123</v>
      </c>
    </row>
    <row r="2" spans="1:14" s="79" customFormat="1" x14ac:dyDescent="0.2">
      <c r="A2" s="77" t="s">
        <v>133</v>
      </c>
      <c r="B2" s="78">
        <f>+B11+B5</f>
        <v>63448.641207692315</v>
      </c>
      <c r="C2" s="78">
        <f t="shared" ref="C2:I2" si="0">+C11+C5</f>
        <v>74911.336529969209</v>
      </c>
      <c r="D2" s="78">
        <f t="shared" si="0"/>
        <v>25718.340992108042</v>
      </c>
      <c r="E2" s="78">
        <f t="shared" si="0"/>
        <v>7057.5548624869698</v>
      </c>
      <c r="F2" s="78">
        <f t="shared" si="0"/>
        <v>87645.042132304225</v>
      </c>
      <c r="G2" s="78">
        <f t="shared" si="0"/>
        <v>37246.354052759802</v>
      </c>
      <c r="H2" s="78">
        <f t="shared" si="0"/>
        <v>229755.2985315487</v>
      </c>
      <c r="I2" s="78">
        <f t="shared" si="0"/>
        <v>27889.021949415379</v>
      </c>
      <c r="J2" s="78">
        <f>+J6+J11</f>
        <v>13238.669171784617</v>
      </c>
      <c r="K2" s="78">
        <f t="shared" ref="K2:M2" si="1">+K6+K11</f>
        <v>71977.482482315376</v>
      </c>
      <c r="L2" s="78">
        <f t="shared" si="1"/>
        <v>30350.431748123083</v>
      </c>
      <c r="M2" s="78">
        <f t="shared" si="1"/>
        <v>1805.1824708461536</v>
      </c>
      <c r="N2" s="78">
        <f>+N6+N11</f>
        <v>19860.201084853845</v>
      </c>
    </row>
    <row r="3" spans="1:14" x14ac:dyDescent="0.2">
      <c r="B3" s="38"/>
      <c r="C3" s="38"/>
      <c r="D3" s="38"/>
      <c r="E3" s="38"/>
      <c r="F3" s="38"/>
      <c r="G3" s="38"/>
      <c r="H3" s="38"/>
      <c r="I3" s="38"/>
      <c r="J3" s="38"/>
      <c r="K3" s="38"/>
      <c r="L3" s="38"/>
      <c r="M3" s="38"/>
      <c r="N3" s="38"/>
    </row>
    <row r="4" spans="1:14" s="82" customFormat="1" x14ac:dyDescent="0.2">
      <c r="A4" s="80" t="s">
        <v>124</v>
      </c>
      <c r="B4" s="81"/>
      <c r="C4" s="81"/>
      <c r="D4" s="81"/>
      <c r="E4" s="81"/>
      <c r="F4" s="81"/>
      <c r="G4" s="81"/>
      <c r="H4" s="81"/>
      <c r="I4" s="81"/>
      <c r="J4" s="81"/>
      <c r="K4" s="81"/>
      <c r="L4" s="81"/>
      <c r="M4" s="81"/>
      <c r="N4" s="81"/>
    </row>
    <row r="5" spans="1:14" s="82" customFormat="1" x14ac:dyDescent="0.2">
      <c r="A5" s="80" t="s">
        <v>128</v>
      </c>
      <c r="B5" s="81">
        <v>54285.760707692316</v>
      </c>
      <c r="C5" s="81">
        <v>69838.254199999981</v>
      </c>
      <c r="D5" s="81">
        <v>23284.318769230769</v>
      </c>
      <c r="E5" s="81">
        <v>6439.9887538461535</v>
      </c>
      <c r="F5" s="81">
        <v>81583.194169230759</v>
      </c>
      <c r="G5" s="81">
        <v>28833.715476923066</v>
      </c>
      <c r="H5" s="81">
        <v>216856.06478461536</v>
      </c>
      <c r="I5" s="81">
        <v>27281.557707692304</v>
      </c>
      <c r="J5" s="81"/>
      <c r="K5" s="81"/>
      <c r="L5" s="81"/>
      <c r="M5" s="81"/>
      <c r="N5" s="81"/>
    </row>
    <row r="6" spans="1:14" s="82" customFormat="1" ht="24.75" x14ac:dyDescent="0.2">
      <c r="A6" s="80" t="s">
        <v>129</v>
      </c>
      <c r="B6" s="81"/>
      <c r="C6" s="81"/>
      <c r="D6" s="81"/>
      <c r="E6" s="81"/>
      <c r="F6" s="81"/>
      <c r="G6" s="81"/>
      <c r="H6" s="81"/>
      <c r="I6" s="81"/>
      <c r="J6" s="81">
        <v>10764.333661538463</v>
      </c>
      <c r="K6" s="81">
        <v>50985.178999999996</v>
      </c>
      <c r="L6" s="81">
        <v>26075.675538461543</v>
      </c>
      <c r="M6" s="81">
        <v>1573.0300615384613</v>
      </c>
      <c r="N6" s="81">
        <v>18020.824246153847</v>
      </c>
    </row>
    <row r="8" spans="1:14" s="85" customFormat="1" x14ac:dyDescent="0.2">
      <c r="A8" s="83" t="s">
        <v>211</v>
      </c>
      <c r="B8" s="84" t="s">
        <v>212</v>
      </c>
      <c r="C8" s="84" t="s">
        <v>213</v>
      </c>
      <c r="D8" s="84" t="s">
        <v>214</v>
      </c>
      <c r="E8" s="84" t="s">
        <v>207</v>
      </c>
      <c r="F8" s="84" t="s">
        <v>207</v>
      </c>
      <c r="G8" s="84" t="s">
        <v>207</v>
      </c>
      <c r="H8" s="84" t="s">
        <v>213</v>
      </c>
      <c r="I8" s="84" t="s">
        <v>213</v>
      </c>
      <c r="J8" s="84" t="s">
        <v>215</v>
      </c>
      <c r="K8" s="84" t="s">
        <v>215</v>
      </c>
      <c r="L8" s="84" t="s">
        <v>215</v>
      </c>
      <c r="M8" s="84" t="s">
        <v>215</v>
      </c>
      <c r="N8" s="84" t="s">
        <v>215</v>
      </c>
    </row>
    <row r="9" spans="1:14" s="85" customFormat="1" x14ac:dyDescent="0.2">
      <c r="A9" s="83" t="s">
        <v>210</v>
      </c>
      <c r="B9" s="87">
        <v>10180.978333333334</v>
      </c>
      <c r="C9" s="87">
        <v>5797.1458461538477</v>
      </c>
      <c r="D9" s="87">
        <v>2738.240772727273</v>
      </c>
      <c r="E9" s="87">
        <v>716.60026530612242</v>
      </c>
      <c r="F9" s="87">
        <v>7070.8596326530596</v>
      </c>
      <c r="G9" s="87">
        <v>9873.9889387755102</v>
      </c>
      <c r="H9" s="87">
        <v>15407.589282051284</v>
      </c>
      <c r="I9" s="87">
        <v>738.64815384615395</v>
      </c>
      <c r="J9" s="87">
        <v>2500.8444615384615</v>
      </c>
      <c r="K9" s="87">
        <v>21493.092538461537</v>
      </c>
      <c r="L9" s="87">
        <v>4451.016461538462</v>
      </c>
      <c r="M9" s="87">
        <v>242.71030769230771</v>
      </c>
      <c r="N9" s="87">
        <v>2047.619769230769</v>
      </c>
    </row>
    <row r="10" spans="1:14" s="85" customFormat="1" x14ac:dyDescent="0.2">
      <c r="A10" s="85" t="s">
        <v>208</v>
      </c>
      <c r="B10" s="86">
        <v>0.1</v>
      </c>
      <c r="C10" s="86">
        <v>0.1249</v>
      </c>
      <c r="D10" s="86">
        <v>0.1111</v>
      </c>
      <c r="E10" s="86">
        <v>0.13819999999999999</v>
      </c>
      <c r="F10" s="86">
        <v>0.14269999999999999</v>
      </c>
      <c r="G10" s="86">
        <v>0.14799999999999999</v>
      </c>
      <c r="H10" s="86">
        <v>0.1628</v>
      </c>
      <c r="I10" s="86">
        <v>0.17760000000000001</v>
      </c>
      <c r="J10" s="86">
        <v>1.06E-2</v>
      </c>
      <c r="K10" s="86">
        <v>2.3300000000000001E-2</v>
      </c>
      <c r="L10" s="86">
        <v>3.9600000000000003E-2</v>
      </c>
      <c r="M10" s="86">
        <v>4.3499999999999997E-2</v>
      </c>
      <c r="N10" s="86">
        <v>0.1017</v>
      </c>
    </row>
    <row r="11" spans="1:14" s="85" customFormat="1" x14ac:dyDescent="0.2">
      <c r="A11" s="85" t="s">
        <v>209</v>
      </c>
      <c r="B11" s="87">
        <f>+B9*(1-B10)</f>
        <v>9162.8805000000011</v>
      </c>
      <c r="C11" s="87">
        <f t="shared" ref="C11:N11" si="2">+C9*(1-C10)</f>
        <v>5073.082329969232</v>
      </c>
      <c r="D11" s="87">
        <f t="shared" si="2"/>
        <v>2434.0222228772732</v>
      </c>
      <c r="E11" s="87">
        <f t="shared" si="2"/>
        <v>617.56610864081631</v>
      </c>
      <c r="F11" s="87">
        <f t="shared" si="2"/>
        <v>6061.8479630734673</v>
      </c>
      <c r="G11" s="87">
        <f t="shared" si="2"/>
        <v>8412.6385758367342</v>
      </c>
      <c r="H11" s="87">
        <f t="shared" si="2"/>
        <v>12899.233746933334</v>
      </c>
      <c r="I11" s="87">
        <f t="shared" si="2"/>
        <v>607.46424172307707</v>
      </c>
      <c r="J11" s="87">
        <f t="shared" si="2"/>
        <v>2474.3355102461537</v>
      </c>
      <c r="K11" s="87">
        <f t="shared" si="2"/>
        <v>20992.303482315383</v>
      </c>
      <c r="L11" s="87">
        <f t="shared" si="2"/>
        <v>4274.7562096615393</v>
      </c>
      <c r="M11" s="87">
        <f t="shared" si="2"/>
        <v>232.15240930769232</v>
      </c>
      <c r="N11" s="87">
        <f t="shared" si="2"/>
        <v>1839.3768386999998</v>
      </c>
    </row>
    <row r="13" spans="1:14" s="89" customFormat="1" x14ac:dyDescent="0.2">
      <c r="A13" s="88" t="s">
        <v>125</v>
      </c>
    </row>
    <row r="14" spans="1:14" s="91" customFormat="1" x14ac:dyDescent="0.2">
      <c r="A14" s="90" t="s">
        <v>126</v>
      </c>
      <c r="B14" s="91">
        <v>19738.593000000001</v>
      </c>
      <c r="C14" s="91">
        <v>2250</v>
      </c>
      <c r="D14" s="91">
        <v>1196</v>
      </c>
      <c r="E14" s="91">
        <v>5144.37</v>
      </c>
      <c r="F14" s="91">
        <v>18660</v>
      </c>
      <c r="G14" s="91">
        <v>16000</v>
      </c>
      <c r="H14" s="91">
        <v>93989.416599999997</v>
      </c>
      <c r="I14" s="91">
        <v>562</v>
      </c>
      <c r="J14" s="91">
        <v>11651.2</v>
      </c>
      <c r="K14" s="91">
        <v>34662.36</v>
      </c>
      <c r="L14" s="91">
        <v>26127</v>
      </c>
      <c r="M14" s="91">
        <v>1500</v>
      </c>
      <c r="N14" s="91">
        <v>4706.38</v>
      </c>
    </row>
    <row r="15" spans="1:14" s="89" customFormat="1" x14ac:dyDescent="0.2">
      <c r="A15" s="88" t="s">
        <v>127</v>
      </c>
      <c r="B15" s="92">
        <v>0.14146551132294194</v>
      </c>
      <c r="C15" s="92">
        <v>0.29349560766013771</v>
      </c>
      <c r="D15" s="92">
        <v>7.3428638108721689E-2</v>
      </c>
      <c r="E15" s="92">
        <v>0.18402473340728998</v>
      </c>
      <c r="F15" s="92">
        <v>0.10430866627761726</v>
      </c>
      <c r="G15" s="92">
        <v>0.11936058014228301</v>
      </c>
      <c r="H15" s="92">
        <v>0.36719013854438731</v>
      </c>
      <c r="I15" s="92">
        <v>8.1247047260360361E-2</v>
      </c>
      <c r="J15" s="92">
        <v>0.11936058014228301</v>
      </c>
      <c r="K15" s="92">
        <v>0.30536827278274536</v>
      </c>
      <c r="L15" s="92">
        <v>9.6686507023884927E-2</v>
      </c>
      <c r="M15" s="92">
        <v>3.3327199003716834E-2</v>
      </c>
      <c r="N15" s="92">
        <v>8.8999484675577389E-2</v>
      </c>
    </row>
    <row r="18" spans="1:14" s="95" customFormat="1" ht="25.5" x14ac:dyDescent="0.2">
      <c r="A18" s="93" t="s">
        <v>132</v>
      </c>
      <c r="B18" s="94">
        <f t="shared" ref="B18:N18" si="3">+B2*(1-B15)</f>
        <v>54472.846736500236</v>
      </c>
      <c r="C18" s="94">
        <f t="shared" si="3"/>
        <v>52925.18829447282</v>
      </c>
      <c r="D18" s="94">
        <f t="shared" si="3"/>
        <v>23829.878238641839</v>
      </c>
      <c r="E18" s="94">
        <f t="shared" si="3"/>
        <v>5758.7902104104824</v>
      </c>
      <c r="F18" s="94">
        <f t="shared" si="3"/>
        <v>78502.904681638</v>
      </c>
      <c r="G18" s="94">
        <f t="shared" si="3"/>
        <v>32800.607624837518</v>
      </c>
      <c r="H18" s="94">
        <f>+H2*(1-H15)</f>
        <v>145391.41863244228</v>
      </c>
      <c r="I18" s="94">
        <f t="shared" si="3"/>
        <v>25623.121265046</v>
      </c>
      <c r="J18" s="94">
        <f t="shared" si="3"/>
        <v>11658.493939128648</v>
      </c>
      <c r="K18" s="94">
        <f t="shared" si="3"/>
        <v>49997.842977440421</v>
      </c>
      <c r="L18" s="94">
        <f t="shared" si="3"/>
        <v>27415.954515730242</v>
      </c>
      <c r="M18" s="94">
        <f t="shared" si="3"/>
        <v>1745.0207954022426</v>
      </c>
      <c r="N18" s="94">
        <f t="shared" si="3"/>
        <v>18092.65342274851</v>
      </c>
    </row>
    <row r="21" spans="1:14" s="98" customFormat="1" x14ac:dyDescent="0.2">
      <c r="A21" s="96" t="s">
        <v>131</v>
      </c>
      <c r="B21" s="97">
        <f t="shared" ref="B21:N21" si="4">+B18/B14</f>
        <v>2.7597127483453474</v>
      </c>
      <c r="C21" s="97">
        <f t="shared" si="4"/>
        <v>23.522305908654587</v>
      </c>
      <c r="D21" s="97">
        <f t="shared" si="4"/>
        <v>19.924647356723945</v>
      </c>
      <c r="E21" s="97">
        <f t="shared" si="4"/>
        <v>1.1194354625368086</v>
      </c>
      <c r="F21" s="97">
        <f t="shared" si="4"/>
        <v>4.2070152562506964</v>
      </c>
      <c r="G21" s="97">
        <f t="shared" si="4"/>
        <v>2.0500379765523449</v>
      </c>
      <c r="H21" s="97">
        <f>+H18/H14</f>
        <v>1.5468913830075022</v>
      </c>
      <c r="I21" s="97">
        <f t="shared" si="4"/>
        <v>45.592742464494663</v>
      </c>
      <c r="J21" s="97">
        <f t="shared" si="4"/>
        <v>1.00062602471236</v>
      </c>
      <c r="K21" s="97">
        <f t="shared" si="4"/>
        <v>1.4424246640286587</v>
      </c>
      <c r="L21" s="97">
        <f t="shared" si="4"/>
        <v>1.0493341951134934</v>
      </c>
      <c r="M21" s="97">
        <f t="shared" si="4"/>
        <v>1.1633471969348284</v>
      </c>
      <c r="N21" s="97">
        <f t="shared" si="4"/>
        <v>3.8442823194787734</v>
      </c>
    </row>
    <row r="23" spans="1:14" x14ac:dyDescent="0.2">
      <c r="A23" s="99" t="s">
        <v>134</v>
      </c>
      <c r="B23" s="100" t="s">
        <v>135</v>
      </c>
    </row>
    <row r="24" spans="1:14" x14ac:dyDescent="0.2">
      <c r="A24" s="101" t="str">
        <f t="array" ref="A24:A36">TRANSPOSE(B1:N1)</f>
        <v>Bessemer</v>
      </c>
      <c r="B24" s="102">
        <f t="array" ref="B24:B36">+TRANSPOSE(B21:N21)</f>
        <v>2.7597127483453474</v>
      </c>
    </row>
    <row r="25" spans="1:14" x14ac:dyDescent="0.2">
      <c r="A25" s="101" t="str">
        <v>Highline</v>
      </c>
      <c r="B25" s="102">
        <v>23.522305908654587</v>
      </c>
    </row>
    <row r="26" spans="1:14" x14ac:dyDescent="0.2">
      <c r="A26" s="101" t="str">
        <v>Oxford</v>
      </c>
      <c r="B26" s="102">
        <v>19.924647356723945</v>
      </c>
    </row>
    <row r="27" spans="1:14" x14ac:dyDescent="0.2">
      <c r="A27" s="101" t="str">
        <v>Otero</v>
      </c>
      <c r="B27" s="102">
        <v>1.1194354625368086</v>
      </c>
    </row>
    <row r="28" spans="1:14" x14ac:dyDescent="0.2">
      <c r="A28" s="101" t="str">
        <v>Catlin</v>
      </c>
      <c r="B28" s="102">
        <v>4.2070152562506964</v>
      </c>
    </row>
    <row r="29" spans="1:14" x14ac:dyDescent="0.2">
      <c r="A29" s="101" t="str">
        <v>Holbrook</v>
      </c>
      <c r="B29" s="102">
        <v>2.0500379765523449</v>
      </c>
    </row>
    <row r="30" spans="1:14" x14ac:dyDescent="0.2">
      <c r="A30" s="101" t="str">
        <v>Fort Lyon</v>
      </c>
      <c r="B30" s="102">
        <v>1.5468913830075022</v>
      </c>
    </row>
    <row r="31" spans="1:14" x14ac:dyDescent="0.2">
      <c r="A31" s="101" t="str">
        <v>Consolidated</v>
      </c>
      <c r="B31" s="102">
        <v>45.592742464494663</v>
      </c>
    </row>
    <row r="32" spans="1:14" x14ac:dyDescent="0.2">
      <c r="A32" s="101" t="str">
        <v>Fort Bent</v>
      </c>
      <c r="B32" s="102">
        <v>1.00062602471236</v>
      </c>
    </row>
    <row r="33" spans="1:2" x14ac:dyDescent="0.2">
      <c r="A33" s="101" t="str">
        <v>Amity</v>
      </c>
      <c r="B33" s="102">
        <v>1.4424246640286587</v>
      </c>
    </row>
    <row r="34" spans="1:2" x14ac:dyDescent="0.2">
      <c r="A34" s="101" t="str">
        <v>Lamar</v>
      </c>
      <c r="B34" s="102">
        <v>1.0493341951134934</v>
      </c>
    </row>
    <row r="35" spans="1:2" x14ac:dyDescent="0.2">
      <c r="A35" s="101" t="str">
        <v>Hyde</v>
      </c>
      <c r="B35" s="102">
        <v>1.1633471969348284</v>
      </c>
    </row>
    <row r="36" spans="1:2" x14ac:dyDescent="0.2">
      <c r="A36" s="101" t="str">
        <v>Buffalo</v>
      </c>
      <c r="B36" s="102">
        <v>3.8442823194787734</v>
      </c>
    </row>
  </sheetData>
  <sheetProtection algorithmName="SHA-512" hashValue="Rom8JHjyW81esIRWn4JojvsA95u/iwkd6KEF+uOxmpb1DnM9485FMdlRjiM1vdY4OfCk2ZrXDN9ftmsTCB78ZA==" saltValue="miBvHxB11MIRjzp4riqb+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Prod Documentation Tool Guide</vt:lpstr>
      <vt:lpstr>Producer Documentation Tool</vt:lpstr>
      <vt:lpstr>Effective Precipitation Tables</vt:lpstr>
      <vt:lpstr>Sheet1</vt:lpstr>
      <vt:lpstr>Average Yield</vt:lpstr>
      <vt:lpstr>Avg_Yield</vt:lpstr>
      <vt:lpstr>Canal</vt:lpstr>
      <vt:lpstr>Soil_Type</vt:lpstr>
      <vt:lpstr>WaterSupply</vt:lpstr>
    </vt:vector>
  </TitlesOfParts>
  <Company>Colorado State University-Pueblo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jeffrey.tranel</dc:creator>
  <cp:lastModifiedBy>Wills, Brenda - RMA</cp:lastModifiedBy>
  <cp:lastPrinted>2015-03-31T16:10:12Z</cp:lastPrinted>
  <dcterms:created xsi:type="dcterms:W3CDTF">2006-04-25T13:43:12Z</dcterms:created>
  <dcterms:modified xsi:type="dcterms:W3CDTF">2015-05-27T20:57:04Z</dcterms:modified>
</cp:coreProperties>
</file>